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0" windowWidth="1845" windowHeight="5985" tabRatio="606" firstSheet="2" activeTab="3"/>
  </bookViews>
  <sheets>
    <sheet name="working" sheetId="1" state="hidden" r:id="rId1"/>
    <sheet name="Income statement" sheetId="2" r:id="rId2"/>
    <sheet name="balance sheet" sheetId="3" r:id="rId3"/>
    <sheet name="equity statement" sheetId="4" r:id="rId4"/>
    <sheet name="key inform" sheetId="5" r:id="rId5"/>
    <sheet name="cash flow statement" sheetId="6" r:id="rId6"/>
  </sheets>
  <externalReferences>
    <externalReference r:id="rId9"/>
  </externalReferences>
  <definedNames>
    <definedName name="_xlnm.Print_Area" localSheetId="5">'cash flow statement'!$A$1:$E$62</definedName>
    <definedName name="_xlnm.Print_Area" localSheetId="1">'Income statement'!$A$1:$E$47</definedName>
    <definedName name="_xlnm.Print_Area" localSheetId="4">'key inform'!$A$1:$F$43</definedName>
    <definedName name="_xlnm.Print_Titles" localSheetId="0">'working'!$A:$B</definedName>
  </definedNames>
  <calcPr fullCalcOnLoad="1"/>
</workbook>
</file>

<file path=xl/sharedStrings.xml><?xml version="1.0" encoding="utf-8"?>
<sst xmlns="http://schemas.openxmlformats.org/spreadsheetml/2006/main" count="293" uniqueCount="209">
  <si>
    <t>CONDENSED CONSOLIDATED INCOME STATEMENTS</t>
  </si>
  <si>
    <t>INDIVIDUAL QUARTER</t>
  </si>
  <si>
    <t>RM’000</t>
  </si>
  <si>
    <t>Revenue</t>
  </si>
  <si>
    <t>Profit before taxation</t>
  </si>
  <si>
    <t xml:space="preserve"> - Basic</t>
  </si>
  <si>
    <t xml:space="preserve"> - Diluted</t>
  </si>
  <si>
    <t>END OF</t>
  </si>
  <si>
    <t>RM'000</t>
  </si>
  <si>
    <t>Current Assets</t>
  </si>
  <si>
    <t xml:space="preserve">    Inventories</t>
  </si>
  <si>
    <t xml:space="preserve">    Trade and other receivables</t>
  </si>
  <si>
    <t xml:space="preserve">    Tax recoverable</t>
  </si>
  <si>
    <t xml:space="preserve">    Cash and cash equivalents</t>
  </si>
  <si>
    <t xml:space="preserve">    Trade and other payables </t>
  </si>
  <si>
    <t xml:space="preserve">    Short term borrowings</t>
  </si>
  <si>
    <t xml:space="preserve">    Provision for taxation</t>
  </si>
  <si>
    <t>Share Capital</t>
  </si>
  <si>
    <t>Net tangible assets per share (RM)</t>
  </si>
  <si>
    <t>CONDENSED CONSOLIDATED CASH FLOW STATEMENT</t>
  </si>
  <si>
    <t>Operating activities</t>
  </si>
  <si>
    <t>Adjustments for :</t>
  </si>
  <si>
    <t xml:space="preserve">  Interest expense</t>
  </si>
  <si>
    <t xml:space="preserve">  Interest income</t>
  </si>
  <si>
    <t xml:space="preserve">  Other non-cash items</t>
  </si>
  <si>
    <t>Operating profit before working capital changes</t>
  </si>
  <si>
    <t>Changes in working capital :</t>
  </si>
  <si>
    <t xml:space="preserve">  Net change in current assets</t>
  </si>
  <si>
    <t xml:space="preserve">  Net change in current liabilities</t>
  </si>
  <si>
    <t xml:space="preserve">  Taxes paid</t>
  </si>
  <si>
    <t>Investing activities</t>
  </si>
  <si>
    <t>Interest paid</t>
  </si>
  <si>
    <t>Dividends paid</t>
  </si>
  <si>
    <t>CONDENSED CONSOLIDATED STATEMENT OF CHANGES IN EQUITY</t>
  </si>
  <si>
    <t>Non-Distributable</t>
  </si>
  <si>
    <t>Share Premium</t>
  </si>
  <si>
    <t>Distributable</t>
  </si>
  <si>
    <t>Retained Profits</t>
  </si>
  <si>
    <t>Total</t>
  </si>
  <si>
    <t>TAI KWONG  YOKOHAMA BHD (292788-U)</t>
  </si>
  <si>
    <t>AS AT</t>
  </si>
  <si>
    <t>CURRENT</t>
  </si>
  <si>
    <t>QUARTER</t>
  </si>
  <si>
    <t>30/9/2002</t>
  </si>
  <si>
    <t>PRECEDING</t>
  </si>
  <si>
    <t>FINANCIAL</t>
  </si>
  <si>
    <t>YEAR</t>
  </si>
  <si>
    <t>31/12/2001</t>
  </si>
  <si>
    <t xml:space="preserve">CONDENSED CONSOLIDATED BALANCE SHEET 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</si>
  <si>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</si>
  <si>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</si>
  <si>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</si>
  <si>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</si>
  <si>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</si>
  <si>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</si>
  <si>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</si>
  <si>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</si>
  <si>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</si>
  <si>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</si>
  <si>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</si>
  <si>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</si>
  <si>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 xml:space="preserve">  Depreciation and Amortisation</t>
  </si>
  <si>
    <t xml:space="preserve">  Interest Income</t>
  </si>
  <si>
    <t>Less : FD pledged to bank for credit facility</t>
  </si>
  <si>
    <t>Note :</t>
  </si>
  <si>
    <t>Cash and cash equivalents at end of period (excluding FD pledged)</t>
  </si>
  <si>
    <t>CUMMULATIVE QUARTER</t>
  </si>
  <si>
    <t>CURRENT YEAR TO DATE</t>
  </si>
  <si>
    <t>Minority Interests</t>
  </si>
  <si>
    <t>Share Capital,  Share Premium    and Reserves</t>
  </si>
  <si>
    <t>N/A</t>
  </si>
  <si>
    <t>Equity investment</t>
  </si>
  <si>
    <t>Financing activities</t>
  </si>
  <si>
    <t>Other investment</t>
  </si>
  <si>
    <t>Operating Expenses :</t>
  </si>
  <si>
    <t xml:space="preserve">  Cost of Sales</t>
  </si>
  <si>
    <t xml:space="preserve">  S &amp; D expenses - Variable</t>
  </si>
  <si>
    <t xml:space="preserve">                           - Fixed</t>
  </si>
  <si>
    <t xml:space="preserve">  Admin. Expenses</t>
  </si>
  <si>
    <t xml:space="preserve">  Legal &amp; Professional Expenses</t>
  </si>
  <si>
    <t>Other Operating Income/ (expenses)</t>
  </si>
  <si>
    <t xml:space="preserve">        </t>
  </si>
  <si>
    <t>Less : Other operating expenses</t>
  </si>
  <si>
    <t xml:space="preserve">           Other Income</t>
  </si>
  <si>
    <t>Equity Investment</t>
  </si>
  <si>
    <t>Proceed from disposal of subsidiaries</t>
  </si>
  <si>
    <t>Cost of Acquisition of subsidiaries</t>
  </si>
  <si>
    <t>Proceed from disposal of fixed asset</t>
  </si>
  <si>
    <t>Purchases of fixed assets</t>
  </si>
  <si>
    <t>Other Investment</t>
  </si>
  <si>
    <t>Cash and Cash Equivalents  as per</t>
  </si>
  <si>
    <t>Cash and Bank Balance</t>
  </si>
  <si>
    <t>FD deposit</t>
  </si>
  <si>
    <t>Cash and Cash Equivalents  as B/sheet</t>
  </si>
  <si>
    <t>Bank Overdraft ( Short-term Borrowing)</t>
  </si>
  <si>
    <t>Cashflow statements as at end of period</t>
  </si>
  <si>
    <t>Borrowing and Debt Securities</t>
  </si>
  <si>
    <t>Current - Secured</t>
  </si>
  <si>
    <t xml:space="preserve">                 Bank Overdraft</t>
  </si>
  <si>
    <t xml:space="preserve">                 Bills Payable (BA, RC, ECR)</t>
  </si>
  <si>
    <t xml:space="preserve">                 Term Loan (within 12 mths)</t>
  </si>
  <si>
    <t xml:space="preserve">                 HP Creditors (within 12 mths)</t>
  </si>
  <si>
    <t>Non- Current - Secured</t>
  </si>
  <si>
    <t xml:space="preserve">                 Term Loan ( after 12mths)</t>
  </si>
  <si>
    <t xml:space="preserve">                 HP Creditors (after 12 mths)</t>
  </si>
  <si>
    <t>Appendix A</t>
  </si>
  <si>
    <t>Reference</t>
  </si>
  <si>
    <t>31/12/2002</t>
  </si>
  <si>
    <t>RM</t>
  </si>
  <si>
    <t>30/9/2001</t>
  </si>
  <si>
    <t>INDIV QTR RESULT</t>
  </si>
  <si>
    <t xml:space="preserve">  Interest Expenses PAID</t>
  </si>
  <si>
    <t>31/03/2003</t>
  </si>
  <si>
    <t>31/03/2002</t>
  </si>
  <si>
    <t>30/6/2003</t>
  </si>
  <si>
    <t>30/6/2002</t>
  </si>
  <si>
    <t xml:space="preserve">Translation Reserve </t>
  </si>
  <si>
    <t>30/9/2003</t>
  </si>
  <si>
    <t>PRECEDING YEAR</t>
  </si>
  <si>
    <t>CORRESPONDING</t>
  </si>
  <si>
    <t>PERIOD</t>
  </si>
  <si>
    <t xml:space="preserve">Cash and cash equivalents </t>
  </si>
  <si>
    <t>Net (decrease)/ increase in cash and cash equivalents</t>
  </si>
  <si>
    <t>31/12/2003</t>
  </si>
  <si>
    <t>31/03/2004</t>
  </si>
  <si>
    <t xml:space="preserve">PRECEDING YEAR CORRESPONDING QUARTER </t>
  </si>
  <si>
    <t xml:space="preserve">PRECEDING YEAR CORRESPONDING PERIOD </t>
  </si>
  <si>
    <t>Cash used in operations</t>
  </si>
  <si>
    <t>30/6/2004</t>
  </si>
  <si>
    <t>AS AT END OF</t>
  </si>
  <si>
    <t>CURRENT QUARTER</t>
  </si>
  <si>
    <t>AS AT PRECEDING</t>
  </si>
  <si>
    <t>FINANCIAL YEAR END</t>
  </si>
  <si>
    <t>30/9/2004</t>
  </si>
  <si>
    <t>31/12/2004</t>
  </si>
  <si>
    <t>Proceed from rights issue</t>
  </si>
  <si>
    <t>Net proceed from /(repayment) of bank borrowing</t>
  </si>
  <si>
    <t>At 1 January 2005</t>
  </si>
  <si>
    <t>31-06-2005</t>
  </si>
  <si>
    <t>Total borrowing</t>
  </si>
  <si>
    <t>31.12.2005</t>
  </si>
  <si>
    <t>Interest Income</t>
  </si>
  <si>
    <t>Interest expenses</t>
  </si>
  <si>
    <t>taxation</t>
  </si>
  <si>
    <t>minority interest</t>
  </si>
  <si>
    <t>Cost of sales</t>
  </si>
  <si>
    <t>Gross profit</t>
  </si>
  <si>
    <t>Other income</t>
  </si>
  <si>
    <t>Expenses</t>
  </si>
  <si>
    <t>Finance cost</t>
  </si>
  <si>
    <t>Profit/(Loss) before taxation</t>
  </si>
  <si>
    <t>Income tax expense</t>
  </si>
  <si>
    <t>Profit/(Loss) for the period</t>
  </si>
  <si>
    <t>Attributable to:</t>
  </si>
  <si>
    <t>Equity holders of the parent</t>
  </si>
  <si>
    <t>Minority interest</t>
  </si>
  <si>
    <t>Earning/(Loss) per share (sen):</t>
  </si>
  <si>
    <t>(The Condensed Consolidated Income Statements should be read in conjunction with the Annual Financial Report of the Group for the year ended 31 December 2005)</t>
  </si>
  <si>
    <t>(The Condensed Consolidated Balance Sheet should be read in conjunction with the Annual Financial Report of the Group for the year ended 31 December 2005)</t>
  </si>
  <si>
    <t>(As Restated)</t>
  </si>
  <si>
    <t>ASSETS</t>
  </si>
  <si>
    <t>Non-current assets</t>
  </si>
  <si>
    <t xml:space="preserve">    Property, Plant And Equipment</t>
  </si>
  <si>
    <t xml:space="preserve">    Prepaid interest in leased land</t>
  </si>
  <si>
    <t xml:space="preserve">    Deferred Tax Asset</t>
  </si>
  <si>
    <t>Total Assets</t>
  </si>
  <si>
    <t>EQUITY AND LIABILITIES</t>
  </si>
  <si>
    <t>Equity attributable to equity holders of the parent:</t>
  </si>
  <si>
    <t xml:space="preserve">    Share capital</t>
  </si>
  <si>
    <t xml:space="preserve">    Reserves</t>
  </si>
  <si>
    <t>Total equity</t>
  </si>
  <si>
    <t>Non-current liabilities</t>
  </si>
  <si>
    <t xml:space="preserve">    Long Term Borrowings</t>
  </si>
  <si>
    <t xml:space="preserve">    Deferred Taxation</t>
  </si>
  <si>
    <t>Current Liabilities</t>
  </si>
  <si>
    <t>Total liabilities</t>
  </si>
  <si>
    <t>Total equity and liabilities</t>
  </si>
  <si>
    <t>At 1 January 2006</t>
  </si>
  <si>
    <t xml:space="preserve">Attributable to equity holders of the parent  </t>
  </si>
  <si>
    <t>Net profit for the period</t>
  </si>
  <si>
    <t>Total recognised income for the period</t>
  </si>
  <si>
    <t>Dividend distributed to equity holders</t>
  </si>
  <si>
    <t>(The Condensed Consolidated Statement of Changes in Equity should be read in conjunction with the Annual Financial Report of the Group for the year ended 31 December 2005)</t>
  </si>
  <si>
    <t>Profit/(Loss) Before Tax</t>
  </si>
  <si>
    <t>Basic Earning/(Loss) Per Share (sen)</t>
  </si>
  <si>
    <t>(The Condensed Consolidated Cash Flow Statement should be read in conjunction with the Annual Financial Report of the Group for the year ended 31 December 2005)</t>
  </si>
  <si>
    <t>Cash and cash equivalents as at  1 January 2006(excluding FD pledged)</t>
  </si>
  <si>
    <t>Profit/(Loss) from operation</t>
  </si>
  <si>
    <t>Net cash generated from operating activities</t>
  </si>
  <si>
    <t>finance cost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</si>
  <si>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</si>
  <si>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</si>
  <si>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</si>
  <si>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</si>
  <si>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Acquisistion of subsidiary</t>
  </si>
  <si>
    <t>Profit/(Loss) For The Period</t>
  </si>
  <si>
    <t>Net cash (used)/generated in investing activities</t>
  </si>
  <si>
    <t>Net cash used from  financing activities</t>
  </si>
  <si>
    <t>Profit from operations</t>
  </si>
  <si>
    <t>Gross interest income</t>
  </si>
  <si>
    <t>Gross interest expense</t>
  </si>
  <si>
    <t>Addition information</t>
  </si>
  <si>
    <t>31-09-2005</t>
  </si>
  <si>
    <t>vs06</t>
  </si>
  <si>
    <t>vs05</t>
  </si>
  <si>
    <t>31.12.2006</t>
  </si>
  <si>
    <t>At 31 Dec 2006</t>
  </si>
  <si>
    <t>At 31 Dec 2005</t>
  </si>
  <si>
    <t>Cash and cash equivalents as at 31 December 2006 (excluding FD pledged)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</si>
</sst>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0_);\(0\)"/>
    <numFmt numFmtId="170" formatCode="00000"/>
    <numFmt numFmtId="171" formatCode="0.0"/>
    <numFmt numFmtId="172" formatCode="0.E+00"/>
    <numFmt numFmtId="173" formatCode="000\-00\-0000"/>
    <numFmt numFmtId="174" formatCode="_(* #,##0.0_);_(* \(#,##0.0\);_(* &quot;-&quot;_);_(@_)"/>
    <numFmt numFmtId="175" formatCode="_(* #,##0.00_);_(* \(#,##0.00\);_(* &quot;-&quot;_);_(@_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37" fontId="0" fillId="0" borderId="0" xfId="15" applyNumberFormat="1" applyAlignment="1">
      <alignment horizontal="center"/>
    </xf>
    <xf numFmtId="37" fontId="0" fillId="0" borderId="1" xfId="15" applyNumberFormat="1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15" applyNumberFormat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37" fontId="0" fillId="0" borderId="13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37" fontId="0" fillId="0" borderId="11" xfId="15" applyNumberFormat="1" applyBorder="1" applyAlignment="1">
      <alignment horizontal="center"/>
    </xf>
    <xf numFmtId="37" fontId="0" fillId="0" borderId="13" xfId="15" applyNumberFormat="1" applyBorder="1" applyAlignment="1">
      <alignment horizontal="center"/>
    </xf>
    <xf numFmtId="0" fontId="5" fillId="0" borderId="0" xfId="0" applyFont="1" applyAlignment="1">
      <alignment/>
    </xf>
    <xf numFmtId="37" fontId="0" fillId="0" borderId="0" xfId="15" applyNumberFormat="1" applyAlignment="1">
      <alignment/>
    </xf>
    <xf numFmtId="37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166" fontId="1" fillId="0" borderId="0" xfId="15" applyNumberFormat="1" applyFont="1" applyAlignment="1">
      <alignment/>
    </xf>
    <xf numFmtId="166" fontId="0" fillId="0" borderId="10" xfId="15" applyNumberFormat="1" applyBorder="1" applyAlignment="1">
      <alignment/>
    </xf>
    <xf numFmtId="166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 horizontal="center"/>
    </xf>
    <xf numFmtId="37" fontId="0" fillId="0" borderId="10" xfId="15" applyNumberFormat="1" applyBorder="1" applyAlignment="1">
      <alignment horizontal="center"/>
    </xf>
    <xf numFmtId="166" fontId="0" fillId="0" borderId="1" xfId="15" applyNumberForma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37" fontId="0" fillId="0" borderId="12" xfId="15" applyNumberFormat="1" applyBorder="1" applyAlignment="1">
      <alignment horizontal="center"/>
    </xf>
    <xf numFmtId="37" fontId="0" fillId="0" borderId="14" xfId="15" applyNumberForma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7" fontId="0" fillId="0" borderId="11" xfId="15" applyNumberFormat="1" applyFont="1" applyBorder="1" applyAlignment="1">
      <alignment horizontal="center"/>
    </xf>
    <xf numFmtId="166" fontId="0" fillId="0" borderId="7" xfId="15" applyNumberFormat="1" applyBorder="1" applyAlignment="1">
      <alignment/>
    </xf>
    <xf numFmtId="37" fontId="0" fillId="0" borderId="1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37" fontId="0" fillId="0" borderId="15" xfId="0" applyNumberFormat="1" applyBorder="1" applyAlignment="1">
      <alignment horizontal="center"/>
    </xf>
    <xf numFmtId="37" fontId="0" fillId="0" borderId="16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37" fontId="0" fillId="0" borderId="0" xfId="0" applyNumberFormat="1" applyBorder="1" applyAlignment="1">
      <alignment/>
    </xf>
    <xf numFmtId="37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/>
    </xf>
    <xf numFmtId="3" fontId="0" fillId="2" borderId="0" xfId="15" applyNumberFormat="1" applyFont="1" applyFill="1" applyAlignment="1">
      <alignment horizontal="center"/>
    </xf>
    <xf numFmtId="3" fontId="0" fillId="2" borderId="0" xfId="15" applyNumberFormat="1" applyFill="1" applyAlignment="1">
      <alignment horizontal="center"/>
    </xf>
    <xf numFmtId="0" fontId="0" fillId="2" borderId="0" xfId="0" applyFill="1" applyAlignment="1">
      <alignment/>
    </xf>
    <xf numFmtId="37" fontId="0" fillId="2" borderId="0" xfId="15" applyNumberFormat="1" applyFill="1" applyAlignment="1">
      <alignment horizontal="center"/>
    </xf>
    <xf numFmtId="166" fontId="0" fillId="0" borderId="0" xfId="0" applyNumberFormat="1" applyAlignment="1">
      <alignment/>
    </xf>
    <xf numFmtId="43" fontId="0" fillId="0" borderId="0" xfId="15" applyAlignment="1">
      <alignment horizontal="center"/>
    </xf>
    <xf numFmtId="37" fontId="0" fillId="0" borderId="9" xfId="15" applyNumberFormat="1" applyBorder="1" applyAlignment="1">
      <alignment horizontal="center"/>
    </xf>
    <xf numFmtId="37" fontId="0" fillId="0" borderId="17" xfId="15" applyNumberFormat="1" applyBorder="1" applyAlignment="1">
      <alignment horizontal="center"/>
    </xf>
    <xf numFmtId="43" fontId="0" fillId="0" borderId="0" xfId="15" applyNumberFormat="1" applyAlignment="1">
      <alignment horizontal="center"/>
    </xf>
    <xf numFmtId="37" fontId="0" fillId="0" borderId="18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85725</xdr:rowOff>
    </xdr:from>
    <xdr:to>
      <xdr:col>2</xdr:col>
      <xdr:colOff>723900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638300" y="8286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</xdr:row>
      <xdr:rowOff>85725</xdr:rowOff>
    </xdr:from>
    <xdr:to>
      <xdr:col>6</xdr:col>
      <xdr:colOff>1057275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5734050" y="8286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yb\Local%20Settings\Temporary%20Internet%20Files\Content.IE5\0X4BXJX5\PPE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4"/>
      <sheetName val="NOTE1204"/>
      <sheetName val="Sch1204"/>
      <sheetName val="0904"/>
      <sheetName val="0604"/>
      <sheetName val="0304"/>
      <sheetName val="NOTE0604"/>
      <sheetName val="Sch0904"/>
      <sheetName val="Sch0604"/>
    </sheetNames>
    <sheetDataSet>
      <sheetData sheetId="2">
        <row r="10">
          <cell r="Q10">
            <v>5029365.71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4"/>
  <sheetViews>
    <sheetView workbookViewId="0" topLeftCell="A1">
      <pane ySplit="2" topLeftCell="BM60" activePane="bottomLeft" state="frozen"/>
      <selection pane="topLeft" activeCell="A1" sqref="A1"/>
      <selection pane="bottomLeft" activeCell="C67" sqref="C67"/>
    </sheetView>
  </sheetViews>
  <sheetFormatPr defaultColWidth="9.140625" defaultRowHeight="12.75"/>
  <cols>
    <col min="2" max="2" width="39.140625" style="0" bestFit="1" customWidth="1"/>
    <col min="3" max="4" width="12.28125" style="0" customWidth="1"/>
    <col min="5" max="5" width="12.28125" style="0" hidden="1" customWidth="1"/>
    <col min="6" max="6" width="11.8515625" style="0" hidden="1" customWidth="1"/>
    <col min="7" max="7" width="12.28125" style="0" hidden="1" customWidth="1"/>
    <col min="8" max="12" width="11.8515625" style="0" hidden="1" customWidth="1"/>
    <col min="13" max="13" width="12.8515625" style="0" hidden="1" customWidth="1"/>
    <col min="14" max="15" width="12.28125" style="0" hidden="1" customWidth="1"/>
    <col min="16" max="16" width="13.140625" style="0" hidden="1" customWidth="1"/>
    <col min="17" max="17" width="14.421875" style="0" hidden="1" customWidth="1"/>
    <col min="18" max="18" width="13.57421875" style="0" hidden="1" customWidth="1"/>
    <col min="19" max="20" width="15.7109375" style="0" hidden="1" customWidth="1"/>
    <col min="21" max="21" width="13.8515625" style="0" hidden="1" customWidth="1"/>
    <col min="22" max="23" width="11.8515625" style="0" hidden="1" customWidth="1"/>
    <col min="24" max="24" width="14.421875" style="0" hidden="1" customWidth="1"/>
    <col min="25" max="25" width="13.8515625" style="0" hidden="1" customWidth="1"/>
    <col min="26" max="26" width="13.140625" style="0" hidden="1" customWidth="1"/>
    <col min="27" max="27" width="12.140625" style="0" hidden="1" customWidth="1"/>
    <col min="28" max="30" width="11.28125" style="0" hidden="1" customWidth="1"/>
    <col min="31" max="31" width="18.28125" style="0" hidden="1" customWidth="1"/>
    <col min="32" max="32" width="10.7109375" style="0" hidden="1" customWidth="1"/>
    <col min="33" max="34" width="11.8515625" style="0" hidden="1" customWidth="1"/>
    <col min="35" max="35" width="12.28125" style="0" hidden="1" customWidth="1"/>
    <col min="36" max="36" width="11.8515625" style="0" hidden="1" customWidth="1"/>
    <col min="37" max="40" width="11.8515625" style="0" customWidth="1"/>
    <col min="41" max="42" width="11.28125" style="0" bestFit="1" customWidth="1"/>
  </cols>
  <sheetData>
    <row r="1" spans="2:32" ht="15">
      <c r="B1" s="45" t="s">
        <v>105</v>
      </c>
      <c r="C1" s="45"/>
      <c r="D1" s="45"/>
      <c r="E1" s="45"/>
      <c r="F1" s="45"/>
      <c r="G1" s="45"/>
      <c r="H1" s="45"/>
      <c r="I1" s="45"/>
      <c r="J1" s="45"/>
      <c r="K1" s="45"/>
      <c r="M1" s="45"/>
      <c r="N1" s="45"/>
      <c r="O1" s="45"/>
      <c r="P1" s="45"/>
      <c r="Q1" s="45"/>
      <c r="R1" s="45"/>
      <c r="S1" s="45"/>
      <c r="T1" s="45"/>
      <c r="W1" s="45"/>
      <c r="X1" s="45"/>
      <c r="Y1" s="45"/>
      <c r="Z1" s="45"/>
      <c r="AE1" s="6" t="s">
        <v>110</v>
      </c>
      <c r="AF1" s="6"/>
    </row>
    <row r="2" spans="2:42" ht="15">
      <c r="B2" s="45"/>
      <c r="C2" s="59">
        <v>39082</v>
      </c>
      <c r="D2" s="59">
        <v>38717</v>
      </c>
      <c r="E2" s="59">
        <v>38807</v>
      </c>
      <c r="F2" s="59">
        <v>38442</v>
      </c>
      <c r="G2" s="59">
        <v>38717</v>
      </c>
      <c r="H2" s="6" t="s">
        <v>134</v>
      </c>
      <c r="I2" s="59" t="s">
        <v>138</v>
      </c>
      <c r="J2" s="6" t="s">
        <v>128</v>
      </c>
      <c r="K2" s="59">
        <v>38442</v>
      </c>
      <c r="L2" s="6" t="s">
        <v>124</v>
      </c>
      <c r="M2" s="6" t="s">
        <v>134</v>
      </c>
      <c r="N2" s="6" t="s">
        <v>123</v>
      </c>
      <c r="O2" s="59">
        <v>38625</v>
      </c>
      <c r="P2" s="6" t="s">
        <v>133</v>
      </c>
      <c r="Q2" s="6" t="s">
        <v>117</v>
      </c>
      <c r="R2" s="6" t="s">
        <v>114</v>
      </c>
      <c r="S2" s="6" t="s">
        <v>123</v>
      </c>
      <c r="T2" s="6" t="s">
        <v>107</v>
      </c>
      <c r="U2" s="6" t="s">
        <v>117</v>
      </c>
      <c r="V2" s="6" t="s">
        <v>43</v>
      </c>
      <c r="W2" s="6" t="s">
        <v>114</v>
      </c>
      <c r="X2" s="6" t="s">
        <v>115</v>
      </c>
      <c r="Y2" s="6" t="s">
        <v>112</v>
      </c>
      <c r="Z2" s="6" t="s">
        <v>113</v>
      </c>
      <c r="AA2" s="6" t="s">
        <v>107</v>
      </c>
      <c r="AB2" s="6" t="s">
        <v>47</v>
      </c>
      <c r="AC2" s="6" t="s">
        <v>43</v>
      </c>
      <c r="AD2" s="6" t="s">
        <v>109</v>
      </c>
      <c r="AE2" s="6" t="s">
        <v>107</v>
      </c>
      <c r="AF2" s="6" t="s">
        <v>47</v>
      </c>
      <c r="AG2" s="6" t="s">
        <v>124</v>
      </c>
      <c r="AH2" s="6" t="s">
        <v>112</v>
      </c>
      <c r="AI2" s="59">
        <v>38717</v>
      </c>
      <c r="AJ2" s="6" t="s">
        <v>134</v>
      </c>
      <c r="AK2" s="59">
        <v>38990</v>
      </c>
      <c r="AL2" s="59" t="s">
        <v>202</v>
      </c>
      <c r="AM2" s="59">
        <v>38898</v>
      </c>
      <c r="AN2" s="59" t="s">
        <v>138</v>
      </c>
      <c r="AO2" t="s">
        <v>203</v>
      </c>
      <c r="AP2" t="s">
        <v>204</v>
      </c>
    </row>
    <row r="3" spans="3:40" ht="12.75">
      <c r="C3" s="6" t="s">
        <v>108</v>
      </c>
      <c r="D3" s="6" t="s">
        <v>108</v>
      </c>
      <c r="E3" s="6" t="s">
        <v>108</v>
      </c>
      <c r="F3" s="6" t="s">
        <v>108</v>
      </c>
      <c r="G3" s="6" t="s">
        <v>108</v>
      </c>
      <c r="H3" s="6" t="s">
        <v>108</v>
      </c>
      <c r="I3" s="6" t="s">
        <v>108</v>
      </c>
      <c r="J3" s="6" t="s">
        <v>108</v>
      </c>
      <c r="K3" s="6" t="s">
        <v>108</v>
      </c>
      <c r="L3" s="6" t="s">
        <v>108</v>
      </c>
      <c r="M3" s="6" t="s">
        <v>108</v>
      </c>
      <c r="N3" s="6" t="s">
        <v>108</v>
      </c>
      <c r="O3" s="6"/>
      <c r="Q3" s="6" t="s">
        <v>108</v>
      </c>
      <c r="R3" s="6" t="s">
        <v>108</v>
      </c>
      <c r="S3" s="6" t="s">
        <v>108</v>
      </c>
      <c r="T3" s="6" t="s">
        <v>108</v>
      </c>
      <c r="U3" s="6" t="s">
        <v>108</v>
      </c>
      <c r="V3" s="6" t="s">
        <v>108</v>
      </c>
      <c r="W3" s="6" t="s">
        <v>108</v>
      </c>
      <c r="X3" s="6" t="s">
        <v>108</v>
      </c>
      <c r="Y3" s="6" t="s">
        <v>108</v>
      </c>
      <c r="Z3" s="6"/>
      <c r="AA3" s="6" t="s">
        <v>108</v>
      </c>
      <c r="AG3" s="6" t="s">
        <v>108</v>
      </c>
      <c r="AH3" s="6" t="s">
        <v>108</v>
      </c>
      <c r="AI3" s="6" t="s">
        <v>108</v>
      </c>
      <c r="AJ3" s="6" t="s">
        <v>108</v>
      </c>
      <c r="AK3" s="6" t="s">
        <v>108</v>
      </c>
      <c r="AL3" s="6" t="s">
        <v>108</v>
      </c>
      <c r="AM3" s="6" t="s">
        <v>108</v>
      </c>
      <c r="AN3" s="6" t="s">
        <v>108</v>
      </c>
    </row>
    <row r="4" spans="1:40" ht="12.75">
      <c r="A4">
        <v>1</v>
      </c>
      <c r="B4" s="3" t="s">
        <v>74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W4" s="3"/>
      <c r="X4" s="3"/>
      <c r="Y4" s="3"/>
      <c r="Z4" s="3"/>
      <c r="AG4" s="3"/>
      <c r="AH4" s="3"/>
      <c r="AI4" s="3"/>
      <c r="AJ4" s="3"/>
      <c r="AK4" s="3"/>
      <c r="AL4" s="3"/>
      <c r="AM4" s="3"/>
      <c r="AN4" s="3"/>
    </row>
    <row r="5" spans="2:42" ht="12.75">
      <c r="B5" t="s">
        <v>75</v>
      </c>
      <c r="C5" s="33">
        <v>90323808</v>
      </c>
      <c r="D5" s="33">
        <v>89486968</v>
      </c>
      <c r="E5" s="33">
        <v>20632890</v>
      </c>
      <c r="F5" s="33">
        <v>22775443</v>
      </c>
      <c r="G5" s="33">
        <v>89486968</v>
      </c>
      <c r="H5" s="33">
        <v>65814546</v>
      </c>
      <c r="I5" s="33">
        <v>44187278</v>
      </c>
      <c r="J5" s="33">
        <v>28959272</v>
      </c>
      <c r="K5" s="33">
        <v>22775443</v>
      </c>
      <c r="L5" s="33">
        <v>11261459</v>
      </c>
      <c r="M5" s="33">
        <v>65814546</v>
      </c>
      <c r="N5" s="33">
        <v>56931000</v>
      </c>
      <c r="O5" s="33">
        <v>68684270</v>
      </c>
      <c r="P5" s="33">
        <v>46533520</v>
      </c>
      <c r="Q5" s="33">
        <v>41916371</v>
      </c>
      <c r="R5" s="33">
        <v>26493015</v>
      </c>
      <c r="S5" s="33">
        <v>56931000</v>
      </c>
      <c r="T5" s="33">
        <v>60582824</v>
      </c>
      <c r="U5" s="33">
        <v>41916371</v>
      </c>
      <c r="V5" s="33">
        <v>48354749</v>
      </c>
      <c r="W5" s="33">
        <v>26493015</v>
      </c>
      <c r="X5" s="33">
        <v>31967969</v>
      </c>
      <c r="Y5" s="33">
        <v>12656146</v>
      </c>
      <c r="Z5" s="33">
        <v>11064030</v>
      </c>
      <c r="AA5" s="46">
        <v>60582824</v>
      </c>
      <c r="AB5" s="33">
        <v>44046853</v>
      </c>
      <c r="AC5" s="33">
        <v>48354749</v>
      </c>
      <c r="AD5" s="33">
        <v>32241971</v>
      </c>
      <c r="AG5" s="33">
        <v>11261459</v>
      </c>
      <c r="AH5" s="33">
        <v>12656146</v>
      </c>
      <c r="AI5" s="33">
        <v>89486968</v>
      </c>
      <c r="AJ5" s="33">
        <v>65814546</v>
      </c>
      <c r="AK5" s="33">
        <v>65968559</v>
      </c>
      <c r="AL5" s="33">
        <v>68684270</v>
      </c>
      <c r="AM5" s="33">
        <v>44020189</v>
      </c>
      <c r="AN5" s="33">
        <v>44187278</v>
      </c>
      <c r="AO5" s="76">
        <f>+C5-AK5</f>
        <v>24355249</v>
      </c>
      <c r="AP5" s="76">
        <f>+D5-AL5</f>
        <v>20802698</v>
      </c>
    </row>
    <row r="6" spans="3:40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46"/>
      <c r="AB6" s="33"/>
      <c r="AC6" s="33"/>
      <c r="AD6" s="33"/>
      <c r="AG6" s="33"/>
      <c r="AH6" s="33"/>
      <c r="AI6" s="33"/>
      <c r="AJ6" s="33"/>
      <c r="AK6" s="33"/>
      <c r="AL6" s="33"/>
      <c r="AM6" s="33"/>
      <c r="AN6" s="33"/>
    </row>
    <row r="7" spans="2:42" ht="12.75">
      <c r="B7" t="s">
        <v>76</v>
      </c>
      <c r="C7" s="33">
        <v>2342584</v>
      </c>
      <c r="D7" s="33">
        <v>2493940</v>
      </c>
      <c r="E7" s="33">
        <v>510351</v>
      </c>
      <c r="F7" s="33">
        <v>746910</v>
      </c>
      <c r="G7" s="33">
        <v>2493940</v>
      </c>
      <c r="H7" s="33">
        <v>2561591</v>
      </c>
      <c r="I7" s="33">
        <v>1232034</v>
      </c>
      <c r="J7" s="33">
        <v>1256361</v>
      </c>
      <c r="K7" s="33">
        <v>746910</v>
      </c>
      <c r="L7" s="33">
        <v>584218</v>
      </c>
      <c r="M7" s="33">
        <v>2561591</v>
      </c>
      <c r="N7" s="33">
        <v>2554635</v>
      </c>
      <c r="O7" s="33">
        <v>1798826</v>
      </c>
      <c r="P7" s="33">
        <v>1810151</v>
      </c>
      <c r="Q7" s="33">
        <v>1869991</v>
      </c>
      <c r="R7" s="33">
        <v>1265204</v>
      </c>
      <c r="S7" s="33">
        <v>2554635</v>
      </c>
      <c r="T7" s="33">
        <v>2645352</v>
      </c>
      <c r="U7" s="33">
        <v>1869991</v>
      </c>
      <c r="V7" s="33">
        <v>2140672</v>
      </c>
      <c r="W7" s="33">
        <v>1265204</v>
      </c>
      <c r="X7" s="33">
        <v>1398579</v>
      </c>
      <c r="Y7" s="33">
        <v>695346</v>
      </c>
      <c r="Z7" s="33">
        <v>734079</v>
      </c>
      <c r="AA7" s="46">
        <v>2645352</v>
      </c>
      <c r="AB7" s="33">
        <v>2709963</v>
      </c>
      <c r="AC7" s="33">
        <v>2140672</v>
      </c>
      <c r="AD7" s="33">
        <v>2507504</v>
      </c>
      <c r="AG7" s="33">
        <v>584218</v>
      </c>
      <c r="AH7" s="33">
        <v>695346</v>
      </c>
      <c r="AI7" s="33">
        <v>2493940</v>
      </c>
      <c r="AJ7" s="33">
        <v>2561591</v>
      </c>
      <c r="AK7" s="33">
        <v>1661155</v>
      </c>
      <c r="AL7" s="33">
        <v>1798826</v>
      </c>
      <c r="AM7" s="33">
        <v>1073905</v>
      </c>
      <c r="AN7" s="33">
        <v>1232034</v>
      </c>
      <c r="AO7" s="76">
        <f aca="true" t="shared" si="0" ref="AO7:AO38">+C7-AK7</f>
        <v>681429</v>
      </c>
      <c r="AP7" s="76">
        <f aca="true" t="shared" si="1" ref="AP7:AP38">+D7-AL7</f>
        <v>695114</v>
      </c>
    </row>
    <row r="8" spans="2:42" ht="12.75">
      <c r="B8" t="s">
        <v>77</v>
      </c>
      <c r="C8" s="33">
        <v>6023225</v>
      </c>
      <c r="D8" s="33">
        <v>7524321</v>
      </c>
      <c r="E8" s="33">
        <v>1462747</v>
      </c>
      <c r="F8" s="33">
        <v>1897357</v>
      </c>
      <c r="G8" s="33">
        <v>7524321</v>
      </c>
      <c r="H8" s="33">
        <v>7642068</v>
      </c>
      <c r="I8" s="33">
        <v>3702336</v>
      </c>
      <c r="J8" s="33">
        <v>3381951</v>
      </c>
      <c r="K8" s="33">
        <v>1897357</v>
      </c>
      <c r="L8" s="33">
        <v>1658407</v>
      </c>
      <c r="M8" s="33">
        <v>7642068</v>
      </c>
      <c r="N8" s="33">
        <v>6482688</v>
      </c>
      <c r="O8" s="33">
        <v>5625244</v>
      </c>
      <c r="P8" s="33">
        <v>5169771</v>
      </c>
      <c r="Q8" s="33">
        <v>4731222</v>
      </c>
      <c r="R8" s="33">
        <v>3057239</v>
      </c>
      <c r="S8" s="33">
        <v>6482688</v>
      </c>
      <c r="T8" s="33">
        <v>5418158</v>
      </c>
      <c r="U8" s="33">
        <v>4731222</v>
      </c>
      <c r="V8" s="33">
        <v>4142235</v>
      </c>
      <c r="W8" s="33">
        <v>3057239</v>
      </c>
      <c r="X8" s="33">
        <v>2650014</v>
      </c>
      <c r="Y8" s="33">
        <v>1362435</v>
      </c>
      <c r="Z8" s="33">
        <v>1207760</v>
      </c>
      <c r="AA8" s="13">
        <v>5418158</v>
      </c>
      <c r="AB8" s="33">
        <v>5436694</v>
      </c>
      <c r="AC8" s="33">
        <v>4142235</v>
      </c>
      <c r="AD8" s="33">
        <v>3820780</v>
      </c>
      <c r="AG8" s="33">
        <v>1658407</v>
      </c>
      <c r="AH8" s="33">
        <v>1362435</v>
      </c>
      <c r="AI8" s="33">
        <v>7524321</v>
      </c>
      <c r="AJ8" s="33">
        <v>7642068</v>
      </c>
      <c r="AK8" s="33">
        <v>4651810</v>
      </c>
      <c r="AL8" s="33">
        <v>5625244</v>
      </c>
      <c r="AM8" s="33">
        <v>3138444</v>
      </c>
      <c r="AN8" s="33">
        <v>3702336</v>
      </c>
      <c r="AO8" s="76">
        <f t="shared" si="0"/>
        <v>1371415</v>
      </c>
      <c r="AP8" s="76">
        <f t="shared" si="1"/>
        <v>1899077</v>
      </c>
    </row>
    <row r="9" spans="2:42" ht="12.75">
      <c r="B9" t="s">
        <v>78</v>
      </c>
      <c r="C9" s="33">
        <v>10374205</v>
      </c>
      <c r="D9" s="33">
        <v>13925647</v>
      </c>
      <c r="E9" s="33">
        <v>2367015</v>
      </c>
      <c r="F9" s="33">
        <v>3286269</v>
      </c>
      <c r="G9" s="33">
        <v>13925647</v>
      </c>
      <c r="H9" s="33">
        <v>13717921</v>
      </c>
      <c r="I9" s="33">
        <v>6566538</v>
      </c>
      <c r="J9" s="33">
        <v>6440691</v>
      </c>
      <c r="K9" s="33">
        <v>3286269</v>
      </c>
      <c r="L9" s="33">
        <v>3089097</v>
      </c>
      <c r="M9" s="33">
        <v>13717921</v>
      </c>
      <c r="N9" s="33">
        <v>11393197</v>
      </c>
      <c r="O9" s="33">
        <v>10813713</v>
      </c>
      <c r="P9" s="33">
        <v>9546300</v>
      </c>
      <c r="Q9" s="33">
        <v>8330252</v>
      </c>
      <c r="R9" s="33">
        <v>5460769</v>
      </c>
      <c r="S9" s="33">
        <v>11393197</v>
      </c>
      <c r="T9" s="33">
        <v>9998804</v>
      </c>
      <c r="U9" s="33">
        <v>8330252</v>
      </c>
      <c r="V9" s="33">
        <v>7253424</v>
      </c>
      <c r="W9" s="33">
        <v>5460769</v>
      </c>
      <c r="X9" s="33">
        <v>4729218</v>
      </c>
      <c r="Y9" s="33">
        <v>2723552</v>
      </c>
      <c r="Z9" s="33">
        <v>2474692</v>
      </c>
      <c r="AA9" s="13">
        <v>9998804</v>
      </c>
      <c r="AB9" s="33">
        <v>10278406</v>
      </c>
      <c r="AC9" s="33">
        <v>7253424</v>
      </c>
      <c r="AD9" s="33">
        <v>7542290</v>
      </c>
      <c r="AG9" s="33">
        <v>3089097</v>
      </c>
      <c r="AH9" s="33">
        <v>2723552</v>
      </c>
      <c r="AI9" s="33">
        <v>13925647</v>
      </c>
      <c r="AJ9" s="33">
        <v>13717921</v>
      </c>
      <c r="AK9" s="33">
        <v>7417295</v>
      </c>
      <c r="AL9" s="33">
        <v>10813713</v>
      </c>
      <c r="AM9" s="33">
        <v>4984276</v>
      </c>
      <c r="AN9" s="33">
        <v>6566538</v>
      </c>
      <c r="AO9" s="76">
        <f t="shared" si="0"/>
        <v>2956910</v>
      </c>
      <c r="AP9" s="76">
        <f t="shared" si="1"/>
        <v>3111934</v>
      </c>
    </row>
    <row r="10" spans="2:42" ht="12.75">
      <c r="B10" t="s">
        <v>79</v>
      </c>
      <c r="C10" s="50">
        <v>1233104</v>
      </c>
      <c r="D10" s="50">
        <v>1008292</v>
      </c>
      <c r="E10" s="50">
        <v>171074</v>
      </c>
      <c r="F10" s="50">
        <v>233748</v>
      </c>
      <c r="G10" s="50">
        <v>1008292</v>
      </c>
      <c r="H10" s="33">
        <v>1963749</v>
      </c>
      <c r="I10" s="33">
        <v>466288</v>
      </c>
      <c r="J10" s="33">
        <v>646359</v>
      </c>
      <c r="K10" s="33">
        <v>233748</v>
      </c>
      <c r="L10" s="33">
        <v>354176</v>
      </c>
      <c r="M10" s="33">
        <v>1963749</v>
      </c>
      <c r="N10" s="33">
        <v>1302246</v>
      </c>
      <c r="O10" s="33">
        <v>624931</v>
      </c>
      <c r="P10" s="33">
        <v>1374711</v>
      </c>
      <c r="Q10" s="33">
        <v>998020</v>
      </c>
      <c r="R10" s="33">
        <v>812851</v>
      </c>
      <c r="S10" s="33">
        <v>1302246</v>
      </c>
      <c r="T10" s="33">
        <v>1577757</v>
      </c>
      <c r="U10" s="33">
        <v>998020</v>
      </c>
      <c r="V10" s="33">
        <v>1266058</v>
      </c>
      <c r="W10" s="33">
        <v>812851</v>
      </c>
      <c r="X10" s="33">
        <v>762547</v>
      </c>
      <c r="Y10" s="33">
        <v>364288</v>
      </c>
      <c r="Z10" s="33">
        <v>509826</v>
      </c>
      <c r="AA10" s="13">
        <v>1577757</v>
      </c>
      <c r="AB10" s="33">
        <v>1217228</v>
      </c>
      <c r="AC10" s="33">
        <v>1266058</v>
      </c>
      <c r="AD10" s="33">
        <v>607425</v>
      </c>
      <c r="AG10" s="33">
        <v>354176</v>
      </c>
      <c r="AH10" s="33">
        <v>364288</v>
      </c>
      <c r="AI10" s="33">
        <v>1008292</v>
      </c>
      <c r="AJ10" s="33">
        <v>1963749</v>
      </c>
      <c r="AK10" s="50">
        <v>539155</v>
      </c>
      <c r="AL10" s="50">
        <v>624931</v>
      </c>
      <c r="AM10" s="50">
        <v>398591</v>
      </c>
      <c r="AN10" s="50">
        <v>466288</v>
      </c>
      <c r="AO10" s="76">
        <f t="shared" si="0"/>
        <v>693949</v>
      </c>
      <c r="AP10" s="76">
        <f t="shared" si="1"/>
        <v>383361</v>
      </c>
    </row>
    <row r="11" spans="3:42" ht="12.75">
      <c r="C11" s="33">
        <f>SUM(C7:C10)</f>
        <v>19973118</v>
      </c>
      <c r="D11" s="33">
        <f>SUM(D7:D10)</f>
        <v>24952200</v>
      </c>
      <c r="E11" s="33">
        <f>SUM(E7:E10)</f>
        <v>4511187</v>
      </c>
      <c r="F11" s="33">
        <f>SUM(F7:F10)</f>
        <v>6164284</v>
      </c>
      <c r="G11" s="33">
        <f>SUM(G7:G10)</f>
        <v>24952200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13"/>
      <c r="AB11" s="33"/>
      <c r="AC11" s="33"/>
      <c r="AD11" s="33"/>
      <c r="AG11" s="33"/>
      <c r="AH11" s="33"/>
      <c r="AI11" s="33"/>
      <c r="AJ11" s="33"/>
      <c r="AK11" s="33">
        <f>SUM(AK7:AK10)</f>
        <v>14269415</v>
      </c>
      <c r="AL11" s="33">
        <f>SUM(AL7:AL10)</f>
        <v>18862714</v>
      </c>
      <c r="AM11" s="33">
        <f>SUM(AM7:AM10)</f>
        <v>9595216</v>
      </c>
      <c r="AN11" s="33">
        <f>SUM(AN7:AN10)</f>
        <v>11967196</v>
      </c>
      <c r="AO11" s="76">
        <f t="shared" si="0"/>
        <v>5703703</v>
      </c>
      <c r="AP11" s="76">
        <f t="shared" si="1"/>
        <v>6089486</v>
      </c>
    </row>
    <row r="12" spans="3:42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13"/>
      <c r="AB12" s="33"/>
      <c r="AC12" s="33"/>
      <c r="AD12" s="33"/>
      <c r="AG12" s="33"/>
      <c r="AH12" s="33"/>
      <c r="AI12" s="33"/>
      <c r="AJ12" s="33"/>
      <c r="AK12" s="33"/>
      <c r="AL12" s="33"/>
      <c r="AM12" s="33"/>
      <c r="AN12" s="33"/>
      <c r="AO12" s="76">
        <f t="shared" si="0"/>
        <v>0</v>
      </c>
      <c r="AP12" s="76">
        <f t="shared" si="1"/>
        <v>0</v>
      </c>
    </row>
    <row r="13" spans="3:42" ht="13.5" thickBot="1">
      <c r="C13" s="54">
        <f aca="true" t="shared" si="2" ref="C13:AD13">SUM(C5:C10)</f>
        <v>110296926</v>
      </c>
      <c r="D13" s="54">
        <f>SUM(D5:D10)</f>
        <v>114439168</v>
      </c>
      <c r="E13" s="54">
        <f t="shared" si="2"/>
        <v>25144077</v>
      </c>
      <c r="F13" s="54">
        <f t="shared" si="2"/>
        <v>28939727</v>
      </c>
      <c r="G13" s="54">
        <f t="shared" si="2"/>
        <v>114439168</v>
      </c>
      <c r="H13" s="54">
        <f t="shared" si="2"/>
        <v>91699875</v>
      </c>
      <c r="I13" s="54">
        <f t="shared" si="2"/>
        <v>56154474</v>
      </c>
      <c r="J13" s="54">
        <f t="shared" si="2"/>
        <v>40684634</v>
      </c>
      <c r="K13" s="54">
        <f t="shared" si="2"/>
        <v>28939727</v>
      </c>
      <c r="L13" s="54">
        <f t="shared" si="2"/>
        <v>16947357</v>
      </c>
      <c r="M13" s="54">
        <f t="shared" si="2"/>
        <v>91699875</v>
      </c>
      <c r="N13" s="54">
        <f t="shared" si="2"/>
        <v>78663766</v>
      </c>
      <c r="O13" s="54">
        <f t="shared" si="2"/>
        <v>87546984</v>
      </c>
      <c r="P13" s="54">
        <f t="shared" si="2"/>
        <v>64434453</v>
      </c>
      <c r="Q13" s="54">
        <f t="shared" si="2"/>
        <v>57845856</v>
      </c>
      <c r="R13" s="14">
        <f t="shared" si="2"/>
        <v>37089078</v>
      </c>
      <c r="S13" s="54">
        <f t="shared" si="2"/>
        <v>78663766</v>
      </c>
      <c r="T13" s="54">
        <f t="shared" si="2"/>
        <v>80222895</v>
      </c>
      <c r="U13" s="14">
        <f t="shared" si="2"/>
        <v>57845856</v>
      </c>
      <c r="V13" s="14">
        <f t="shared" si="2"/>
        <v>63157138</v>
      </c>
      <c r="W13" s="14">
        <f t="shared" si="2"/>
        <v>37089078</v>
      </c>
      <c r="X13" s="14">
        <f t="shared" si="2"/>
        <v>41508327</v>
      </c>
      <c r="Y13" s="14">
        <f t="shared" si="2"/>
        <v>17801767</v>
      </c>
      <c r="Z13" s="14">
        <f t="shared" si="2"/>
        <v>15990387</v>
      </c>
      <c r="AA13" s="14">
        <f t="shared" si="2"/>
        <v>80222895</v>
      </c>
      <c r="AB13" s="14">
        <f t="shared" si="2"/>
        <v>63689144</v>
      </c>
      <c r="AC13" s="14">
        <f t="shared" si="2"/>
        <v>63157138</v>
      </c>
      <c r="AD13" s="14">
        <f t="shared" si="2"/>
        <v>46719970</v>
      </c>
      <c r="AE13" s="14">
        <f>+AA13-AC13</f>
        <v>17065757</v>
      </c>
      <c r="AF13" s="14">
        <f>+AB13-AD13</f>
        <v>16969174</v>
      </c>
      <c r="AG13" s="54">
        <f aca="true" t="shared" si="3" ref="AG13:AL13">SUM(AG5:AG10)</f>
        <v>16947357</v>
      </c>
      <c r="AH13" s="54">
        <f t="shared" si="3"/>
        <v>17801767</v>
      </c>
      <c r="AI13" s="54">
        <f t="shared" si="3"/>
        <v>114439168</v>
      </c>
      <c r="AJ13" s="54">
        <f t="shared" si="3"/>
        <v>91699875</v>
      </c>
      <c r="AK13" s="54">
        <f t="shared" si="3"/>
        <v>80237974</v>
      </c>
      <c r="AL13" s="54">
        <f t="shared" si="3"/>
        <v>87546984</v>
      </c>
      <c r="AM13" s="54">
        <f>SUM(AM5:AM10)</f>
        <v>53615405</v>
      </c>
      <c r="AN13" s="54">
        <f>SUM(AN5:AN10)</f>
        <v>56154474</v>
      </c>
      <c r="AO13" s="76">
        <f t="shared" si="0"/>
        <v>30058952</v>
      </c>
      <c r="AP13" s="76">
        <f t="shared" si="1"/>
        <v>26892184</v>
      </c>
    </row>
    <row r="14" spans="3:42" ht="13.5" thickTop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13"/>
      <c r="AB14" s="33"/>
      <c r="AC14" s="33"/>
      <c r="AD14" s="33"/>
      <c r="AG14" s="33"/>
      <c r="AH14" s="33"/>
      <c r="AI14" s="33"/>
      <c r="AJ14" s="33"/>
      <c r="AK14" s="33"/>
      <c r="AL14" s="33"/>
      <c r="AM14" s="33"/>
      <c r="AN14" s="33"/>
      <c r="AO14" s="76">
        <f t="shared" si="0"/>
        <v>0</v>
      </c>
      <c r="AP14" s="76">
        <f t="shared" si="1"/>
        <v>0</v>
      </c>
    </row>
    <row r="15" spans="3:42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3"/>
      <c r="AB15" s="33"/>
      <c r="AC15" s="33"/>
      <c r="AD15" s="33"/>
      <c r="AG15" s="33"/>
      <c r="AH15" s="33"/>
      <c r="AI15" s="33"/>
      <c r="AJ15" s="33"/>
      <c r="AK15" s="33"/>
      <c r="AL15" s="33"/>
      <c r="AM15" s="33"/>
      <c r="AN15" s="33"/>
      <c r="AO15" s="76">
        <f t="shared" si="0"/>
        <v>0</v>
      </c>
      <c r="AP15" s="76">
        <f t="shared" si="1"/>
        <v>0</v>
      </c>
    </row>
    <row r="16" spans="1:42" ht="12.75">
      <c r="A16">
        <v>2</v>
      </c>
      <c r="B16" s="3" t="s">
        <v>80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3"/>
      <c r="R16" s="49"/>
      <c r="S16" s="49"/>
      <c r="T16" s="49"/>
      <c r="U16" s="33"/>
      <c r="V16" s="33"/>
      <c r="W16" s="49"/>
      <c r="X16" s="49"/>
      <c r="Y16" s="49"/>
      <c r="Z16" s="49"/>
      <c r="AA16" s="13"/>
      <c r="AB16" s="33"/>
      <c r="AC16" s="33"/>
      <c r="AD16" s="33"/>
      <c r="AG16" s="49"/>
      <c r="AH16" s="49"/>
      <c r="AI16" s="49"/>
      <c r="AJ16" s="49"/>
      <c r="AK16" s="49"/>
      <c r="AL16" s="49"/>
      <c r="AM16" s="49"/>
      <c r="AN16" s="49"/>
      <c r="AO16" s="76">
        <f t="shared" si="0"/>
        <v>0</v>
      </c>
      <c r="AP16" s="76">
        <f t="shared" si="1"/>
        <v>0</v>
      </c>
    </row>
    <row r="17" spans="2:42" ht="12.75">
      <c r="B17" t="s">
        <v>83</v>
      </c>
      <c r="C17" s="33">
        <v>7349798</v>
      </c>
      <c r="D17" s="33">
        <v>1417163</v>
      </c>
      <c r="E17" s="33">
        <v>113423</v>
      </c>
      <c r="F17" s="33">
        <v>301549</v>
      </c>
      <c r="G17" s="33">
        <v>1417163</v>
      </c>
      <c r="H17" s="33">
        <v>1163530</v>
      </c>
      <c r="I17" s="33">
        <v>884533</v>
      </c>
      <c r="J17" s="33">
        <v>896320</v>
      </c>
      <c r="K17" s="33">
        <v>301549</v>
      </c>
      <c r="L17" s="33">
        <v>565778</v>
      </c>
      <c r="M17" s="33">
        <v>1163530</v>
      </c>
      <c r="N17" s="33">
        <v>3260758</v>
      </c>
      <c r="O17" s="33">
        <v>1076220</v>
      </c>
      <c r="P17" s="33">
        <v>1268068</v>
      </c>
      <c r="Q17" s="33">
        <v>2611125</v>
      </c>
      <c r="R17" s="33">
        <v>1781323</v>
      </c>
      <c r="S17" s="33">
        <v>3260758</v>
      </c>
      <c r="T17" s="33">
        <v>1086905</v>
      </c>
      <c r="U17" s="33">
        <v>2611125</v>
      </c>
      <c r="V17" s="33">
        <v>853945</v>
      </c>
      <c r="W17" s="33">
        <v>1781323</v>
      </c>
      <c r="X17" s="33">
        <v>538796</v>
      </c>
      <c r="Y17" s="33">
        <v>132084</v>
      </c>
      <c r="Z17" s="33">
        <v>409995</v>
      </c>
      <c r="AA17" s="13">
        <v>1086905</v>
      </c>
      <c r="AB17" s="33">
        <v>1131342</v>
      </c>
      <c r="AC17" s="33">
        <v>853945</v>
      </c>
      <c r="AD17" s="33">
        <v>566436</v>
      </c>
      <c r="AG17" s="33">
        <v>565778</v>
      </c>
      <c r="AH17" s="33">
        <v>132084</v>
      </c>
      <c r="AI17" s="33">
        <v>1417163</v>
      </c>
      <c r="AJ17" s="33">
        <v>1163530</v>
      </c>
      <c r="AK17" s="33">
        <v>6671961</v>
      </c>
      <c r="AL17" s="33">
        <v>1076220</v>
      </c>
      <c r="AM17" s="33">
        <v>5986746</v>
      </c>
      <c r="AN17" s="33">
        <v>884533</v>
      </c>
      <c r="AO17" s="76">
        <f t="shared" si="0"/>
        <v>677837</v>
      </c>
      <c r="AP17" s="76">
        <f t="shared" si="1"/>
        <v>340943</v>
      </c>
    </row>
    <row r="18" spans="2:42" ht="12.75">
      <c r="B18" t="s">
        <v>82</v>
      </c>
      <c r="C18" s="33">
        <f>-2293058-1300000</f>
        <v>-3593058</v>
      </c>
      <c r="D18" s="33">
        <v>-1166728</v>
      </c>
      <c r="E18" s="33">
        <v>-132311</v>
      </c>
      <c r="F18" s="33">
        <v>-342655</v>
      </c>
      <c r="G18" s="33">
        <v>-1166728</v>
      </c>
      <c r="H18" s="33">
        <v>-2181482</v>
      </c>
      <c r="I18" s="33">
        <v>-388389</v>
      </c>
      <c r="J18" s="33">
        <v>-1480373</v>
      </c>
      <c r="K18" s="33">
        <v>-342655</v>
      </c>
      <c r="L18" s="33">
        <v>-119528</v>
      </c>
      <c r="M18" s="33">
        <v>-2181482</v>
      </c>
      <c r="N18" s="33">
        <f>-1745114-292000</f>
        <v>-2037114</v>
      </c>
      <c r="O18" s="33">
        <v>-590072</v>
      </c>
      <c r="P18" s="33">
        <v>-1795733</v>
      </c>
      <c r="Q18" s="33">
        <v>-248355</v>
      </c>
      <c r="R18" s="33">
        <v>-267380</v>
      </c>
      <c r="S18" s="33">
        <f>-1745114-292000</f>
        <v>-2037114</v>
      </c>
      <c r="T18" s="33">
        <v>-1791899</v>
      </c>
      <c r="U18" s="33">
        <v>-248355</v>
      </c>
      <c r="V18" s="33">
        <v>-812561</v>
      </c>
      <c r="W18" s="33">
        <v>-267380</v>
      </c>
      <c r="X18" s="33">
        <v>-380496</v>
      </c>
      <c r="Y18" s="33">
        <v>-109187</v>
      </c>
      <c r="Z18" s="51">
        <v>-139478</v>
      </c>
      <c r="AA18" s="13">
        <v>-1791899</v>
      </c>
      <c r="AB18" s="33">
        <v>-671191</v>
      </c>
      <c r="AC18" s="33">
        <v>-812561</v>
      </c>
      <c r="AD18" s="33">
        <v>-250741</v>
      </c>
      <c r="AG18" s="33">
        <v>-119528</v>
      </c>
      <c r="AH18" s="33">
        <v>-109187</v>
      </c>
      <c r="AI18" s="33">
        <v>-1166728</v>
      </c>
      <c r="AJ18" s="33">
        <v>-2181482</v>
      </c>
      <c r="AK18" s="33">
        <v>-1751278</v>
      </c>
      <c r="AL18" s="33">
        <v>-590072</v>
      </c>
      <c r="AM18" s="33">
        <v>-1658123</v>
      </c>
      <c r="AN18" s="33">
        <v>-388389</v>
      </c>
      <c r="AO18" s="76">
        <f t="shared" si="0"/>
        <v>-1841780</v>
      </c>
      <c r="AP18" s="76">
        <f t="shared" si="1"/>
        <v>-576656</v>
      </c>
    </row>
    <row r="19" spans="3:42" ht="13.5" thickBot="1">
      <c r="C19" s="54">
        <f aca="true" t="shared" si="4" ref="C19:V19">SUM(C17:C18)</f>
        <v>3756740</v>
      </c>
      <c r="D19" s="54">
        <f>SUM(D17:D18)</f>
        <v>250435</v>
      </c>
      <c r="E19" s="54">
        <f>SUM(E17:E18)</f>
        <v>-18888</v>
      </c>
      <c r="F19" s="54">
        <f t="shared" si="4"/>
        <v>-41106</v>
      </c>
      <c r="G19" s="54">
        <f>SUM(G17:G18)</f>
        <v>250435</v>
      </c>
      <c r="H19" s="54">
        <f>SUM(H17:H18)</f>
        <v>-1017952</v>
      </c>
      <c r="I19" s="54">
        <f t="shared" si="4"/>
        <v>496144</v>
      </c>
      <c r="J19" s="54">
        <f>SUM(J17:J18)</f>
        <v>-584053</v>
      </c>
      <c r="K19" s="54">
        <f t="shared" si="4"/>
        <v>-41106</v>
      </c>
      <c r="L19" s="54">
        <f>SUM(L17:L18)</f>
        <v>446250</v>
      </c>
      <c r="M19" s="54">
        <f t="shared" si="4"/>
        <v>-1017952</v>
      </c>
      <c r="N19" s="54">
        <f t="shared" si="4"/>
        <v>1223644</v>
      </c>
      <c r="O19" s="54">
        <f>SUM(O17:O18)</f>
        <v>486148</v>
      </c>
      <c r="P19" s="54">
        <f>SUM(P17:P18)</f>
        <v>-527665</v>
      </c>
      <c r="Q19" s="54">
        <f t="shared" si="4"/>
        <v>2362770</v>
      </c>
      <c r="R19" s="14">
        <f t="shared" si="4"/>
        <v>1513943</v>
      </c>
      <c r="S19" s="54">
        <f t="shared" si="4"/>
        <v>1223644</v>
      </c>
      <c r="T19" s="54">
        <f t="shared" si="4"/>
        <v>-704994</v>
      </c>
      <c r="U19" s="14">
        <f t="shared" si="4"/>
        <v>2362770</v>
      </c>
      <c r="V19" s="14">
        <f t="shared" si="4"/>
        <v>41384</v>
      </c>
      <c r="W19" s="14">
        <f aca="true" t="shared" si="5" ref="W19:AD19">SUM(W17:W18)</f>
        <v>1513943</v>
      </c>
      <c r="X19" s="14">
        <f t="shared" si="5"/>
        <v>158300</v>
      </c>
      <c r="Y19" s="14">
        <f t="shared" si="5"/>
        <v>22897</v>
      </c>
      <c r="Z19" s="14">
        <f t="shared" si="5"/>
        <v>270517</v>
      </c>
      <c r="AA19" s="14">
        <f t="shared" si="5"/>
        <v>-704994</v>
      </c>
      <c r="AB19" s="14">
        <f t="shared" si="5"/>
        <v>460151</v>
      </c>
      <c r="AC19" s="14">
        <f t="shared" si="5"/>
        <v>41384</v>
      </c>
      <c r="AD19" s="14">
        <f t="shared" si="5"/>
        <v>315695</v>
      </c>
      <c r="AE19" s="14">
        <f>+AA19-AC19</f>
        <v>-746378</v>
      </c>
      <c r="AF19" s="14">
        <f>+AB19-AD19</f>
        <v>144456</v>
      </c>
      <c r="AG19" s="54">
        <f aca="true" t="shared" si="6" ref="AG19:AN19">SUM(AG17:AG18)</f>
        <v>446250</v>
      </c>
      <c r="AH19" s="54">
        <f t="shared" si="6"/>
        <v>22897</v>
      </c>
      <c r="AI19" s="54">
        <f t="shared" si="6"/>
        <v>250435</v>
      </c>
      <c r="AJ19" s="54">
        <f t="shared" si="6"/>
        <v>-1017952</v>
      </c>
      <c r="AK19" s="54">
        <f t="shared" si="6"/>
        <v>4920683</v>
      </c>
      <c r="AL19" s="54">
        <f t="shared" si="6"/>
        <v>486148</v>
      </c>
      <c r="AM19" s="54">
        <f t="shared" si="6"/>
        <v>4328623</v>
      </c>
      <c r="AN19" s="54">
        <f t="shared" si="6"/>
        <v>496144</v>
      </c>
      <c r="AO19" s="76">
        <f t="shared" si="0"/>
        <v>-1163943</v>
      </c>
      <c r="AP19" s="76">
        <f t="shared" si="1"/>
        <v>-235713</v>
      </c>
    </row>
    <row r="20" spans="3:42" ht="13.5" thickTop="1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13"/>
      <c r="AB20" s="33"/>
      <c r="AC20" s="33"/>
      <c r="AD20" s="33"/>
      <c r="AG20" s="33"/>
      <c r="AH20" s="33"/>
      <c r="AI20" s="33"/>
      <c r="AJ20" s="33"/>
      <c r="AK20" s="33"/>
      <c r="AL20" s="33"/>
      <c r="AM20" s="33"/>
      <c r="AN20" s="33"/>
      <c r="AO20" s="76">
        <f t="shared" si="0"/>
        <v>0</v>
      </c>
      <c r="AP20" s="76">
        <f t="shared" si="1"/>
        <v>0</v>
      </c>
    </row>
    <row r="21" spans="1:42" ht="12.75">
      <c r="A21">
        <v>3</v>
      </c>
      <c r="B21" s="3" t="s">
        <v>84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3"/>
      <c r="R21" s="49"/>
      <c r="S21" s="49"/>
      <c r="T21" s="49"/>
      <c r="U21" s="33"/>
      <c r="V21" s="33"/>
      <c r="W21" s="49"/>
      <c r="X21" s="49"/>
      <c r="Y21" s="49"/>
      <c r="Z21" s="49"/>
      <c r="AA21" s="13"/>
      <c r="AB21" s="33"/>
      <c r="AC21" s="33"/>
      <c r="AD21" s="33"/>
      <c r="AG21" s="49"/>
      <c r="AH21" s="49"/>
      <c r="AI21" s="49"/>
      <c r="AJ21" s="49"/>
      <c r="AK21" s="49"/>
      <c r="AL21" s="49"/>
      <c r="AM21" s="49"/>
      <c r="AN21" s="49"/>
      <c r="AO21" s="76">
        <f t="shared" si="0"/>
        <v>0</v>
      </c>
      <c r="AP21" s="76">
        <f t="shared" si="1"/>
        <v>0</v>
      </c>
    </row>
    <row r="22" spans="2:42" ht="12.75">
      <c r="B22" t="s">
        <v>85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13">
        <v>-2612</v>
      </c>
      <c r="AB22" s="33"/>
      <c r="AC22" s="33"/>
      <c r="AD22" s="33"/>
      <c r="AG22" s="33"/>
      <c r="AH22" s="33"/>
      <c r="AI22" s="33"/>
      <c r="AJ22" s="33"/>
      <c r="AK22" s="33"/>
      <c r="AL22" s="33"/>
      <c r="AM22" s="33"/>
      <c r="AN22" s="33"/>
      <c r="AO22" s="76">
        <f t="shared" si="0"/>
        <v>0</v>
      </c>
      <c r="AP22" s="76">
        <f t="shared" si="1"/>
        <v>0</v>
      </c>
    </row>
    <row r="23" spans="2:42" ht="12.75">
      <c r="B23" t="s">
        <v>86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13">
        <v>-80000</v>
      </c>
      <c r="AB23" s="33"/>
      <c r="AC23" s="33"/>
      <c r="AD23" s="33"/>
      <c r="AG23" s="33"/>
      <c r="AH23" s="33"/>
      <c r="AI23" s="33"/>
      <c r="AJ23" s="33"/>
      <c r="AK23" s="33"/>
      <c r="AL23" s="33"/>
      <c r="AM23" s="33"/>
      <c r="AN23" s="33"/>
      <c r="AO23" s="76">
        <f t="shared" si="0"/>
        <v>0</v>
      </c>
      <c r="AP23" s="76">
        <f t="shared" si="1"/>
        <v>0</v>
      </c>
    </row>
    <row r="24" spans="3:42" ht="13.5" thickBot="1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14">
        <f>SUM(AA22:AA23)</f>
        <v>-82612</v>
      </c>
      <c r="AB24" s="33"/>
      <c r="AC24" s="33"/>
      <c r="AD24" s="33"/>
      <c r="AG24" s="33"/>
      <c r="AH24" s="33"/>
      <c r="AI24" s="33"/>
      <c r="AJ24" s="33"/>
      <c r="AK24" s="33"/>
      <c r="AL24" s="33"/>
      <c r="AM24" s="33"/>
      <c r="AN24" s="33"/>
      <c r="AO24" s="76">
        <f t="shared" si="0"/>
        <v>0</v>
      </c>
      <c r="AP24" s="76">
        <f t="shared" si="1"/>
        <v>0</v>
      </c>
    </row>
    <row r="25" spans="3:42" ht="13.5" thickTop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13"/>
      <c r="AB25" s="33"/>
      <c r="AC25" s="33"/>
      <c r="AD25" s="33"/>
      <c r="AG25" s="33"/>
      <c r="AH25" s="33"/>
      <c r="AI25" s="33"/>
      <c r="AJ25" s="33"/>
      <c r="AK25" s="33"/>
      <c r="AL25" s="33"/>
      <c r="AM25" s="33"/>
      <c r="AN25" s="33"/>
      <c r="AO25" s="76">
        <f t="shared" si="0"/>
        <v>0</v>
      </c>
      <c r="AP25" s="76">
        <f t="shared" si="1"/>
        <v>0</v>
      </c>
    </row>
    <row r="26" spans="1:42" ht="12.75">
      <c r="A26">
        <v>4</v>
      </c>
      <c r="B26" s="3" t="s">
        <v>89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3"/>
      <c r="R26" s="49"/>
      <c r="S26" s="49"/>
      <c r="T26" s="49"/>
      <c r="U26" s="33"/>
      <c r="V26" s="33"/>
      <c r="W26" s="49"/>
      <c r="X26" s="49"/>
      <c r="Y26" s="49"/>
      <c r="Z26" s="49"/>
      <c r="AA26" s="13"/>
      <c r="AB26" s="33"/>
      <c r="AC26" s="33"/>
      <c r="AD26" s="33"/>
      <c r="AG26" s="49"/>
      <c r="AH26" s="49"/>
      <c r="AI26" s="49"/>
      <c r="AJ26" s="49"/>
      <c r="AK26" s="49"/>
      <c r="AL26" s="49"/>
      <c r="AM26" s="49"/>
      <c r="AN26" s="49"/>
      <c r="AO26" s="76">
        <f t="shared" si="0"/>
        <v>0</v>
      </c>
      <c r="AP26" s="76">
        <f t="shared" si="1"/>
        <v>0</v>
      </c>
    </row>
    <row r="27" spans="2:42" ht="12.75">
      <c r="B27" t="s">
        <v>87</v>
      </c>
      <c r="C27" s="33"/>
      <c r="D27" s="33"/>
      <c r="E27" s="33"/>
      <c r="F27" s="33"/>
      <c r="G27" s="33"/>
      <c r="H27" s="33">
        <f>+'[1]Sch1204'!$Q$10</f>
        <v>5029365.71</v>
      </c>
      <c r="I27" s="33"/>
      <c r="J27" s="33">
        <v>1761564.76</v>
      </c>
      <c r="K27" s="33"/>
      <c r="L27" s="33"/>
      <c r="M27" s="33">
        <f>+'[1]Sch1204'!$Q$10</f>
        <v>5029365.71</v>
      </c>
      <c r="N27" s="33">
        <v>116011.05</v>
      </c>
      <c r="O27" s="33"/>
      <c r="P27" s="33">
        <v>1778565.76</v>
      </c>
      <c r="Q27" s="33"/>
      <c r="R27" s="33"/>
      <c r="S27" s="33">
        <v>116011.05</v>
      </c>
      <c r="T27" s="33"/>
      <c r="U27" s="33"/>
      <c r="V27" s="33"/>
      <c r="W27" s="33"/>
      <c r="X27" s="33"/>
      <c r="Y27" s="33"/>
      <c r="Z27" s="33"/>
      <c r="AA27" s="13">
        <v>-176190</v>
      </c>
      <c r="AB27" s="33"/>
      <c r="AC27" s="33"/>
      <c r="AD27" s="33"/>
      <c r="AG27" s="33"/>
      <c r="AH27" s="33"/>
      <c r="AI27" s="33"/>
      <c r="AJ27" s="33">
        <f>+'[1]Sch1204'!$Q$10</f>
        <v>5029365.71</v>
      </c>
      <c r="AK27" s="33"/>
      <c r="AL27" s="33"/>
      <c r="AM27" s="33"/>
      <c r="AN27" s="33"/>
      <c r="AO27" s="76">
        <f t="shared" si="0"/>
        <v>0</v>
      </c>
      <c r="AP27" s="76">
        <f t="shared" si="1"/>
        <v>0</v>
      </c>
    </row>
    <row r="28" spans="2:42" ht="12.75">
      <c r="B28" t="s">
        <v>88</v>
      </c>
      <c r="C28" s="33"/>
      <c r="D28" s="33"/>
      <c r="E28" s="33"/>
      <c r="F28" s="33"/>
      <c r="G28" s="33"/>
      <c r="H28" s="33">
        <v>7570272</v>
      </c>
      <c r="I28" s="33"/>
      <c r="J28" s="33"/>
      <c r="K28" s="33"/>
      <c r="L28" s="33"/>
      <c r="M28" s="33">
        <v>7570272</v>
      </c>
      <c r="N28" s="33">
        <v>39369031</v>
      </c>
      <c r="O28" s="33"/>
      <c r="P28" s="33">
        <v>6699283</v>
      </c>
      <c r="Q28" s="33"/>
      <c r="R28" s="33"/>
      <c r="S28" s="33">
        <v>39369031</v>
      </c>
      <c r="T28" s="33"/>
      <c r="U28" s="33"/>
      <c r="V28" s="33"/>
      <c r="W28" s="33"/>
      <c r="X28" s="33"/>
      <c r="Y28" s="33"/>
      <c r="Z28" s="33"/>
      <c r="AA28" s="13">
        <v>1703434</v>
      </c>
      <c r="AB28" s="33"/>
      <c r="AC28" s="33"/>
      <c r="AD28" s="33"/>
      <c r="AG28" s="33"/>
      <c r="AH28" s="33"/>
      <c r="AI28" s="33"/>
      <c r="AJ28" s="33">
        <v>7570272</v>
      </c>
      <c r="AK28" s="33"/>
      <c r="AL28" s="33"/>
      <c r="AM28" s="33"/>
      <c r="AN28" s="33"/>
      <c r="AO28" s="76">
        <f t="shared" si="0"/>
        <v>0</v>
      </c>
      <c r="AP28" s="76">
        <f t="shared" si="1"/>
        <v>0</v>
      </c>
    </row>
    <row r="29" spans="3:42" ht="13.5" thickBo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14">
        <f>SUM(AA27:AA28)</f>
        <v>1527244</v>
      </c>
      <c r="AB29" s="33"/>
      <c r="AC29" s="33"/>
      <c r="AD29" s="33"/>
      <c r="AG29" s="33"/>
      <c r="AH29" s="33"/>
      <c r="AI29" s="33"/>
      <c r="AJ29" s="33"/>
      <c r="AK29" s="33"/>
      <c r="AL29" s="33"/>
      <c r="AM29" s="33"/>
      <c r="AN29" s="33"/>
      <c r="AO29" s="76">
        <f t="shared" si="0"/>
        <v>0</v>
      </c>
      <c r="AP29" s="76">
        <f t="shared" si="1"/>
        <v>0</v>
      </c>
    </row>
    <row r="30" spans="3:42" ht="13.5" thickTop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13"/>
      <c r="AB30" s="33"/>
      <c r="AC30" s="33"/>
      <c r="AD30" s="33"/>
      <c r="AG30" s="33"/>
      <c r="AH30" s="33"/>
      <c r="AI30" s="33"/>
      <c r="AJ30" s="33"/>
      <c r="AK30" s="33"/>
      <c r="AL30" s="33"/>
      <c r="AM30" s="33"/>
      <c r="AN30" s="33"/>
      <c r="AO30" s="76">
        <f t="shared" si="0"/>
        <v>0</v>
      </c>
      <c r="AP30" s="76">
        <f t="shared" si="1"/>
        <v>0</v>
      </c>
    </row>
    <row r="31" spans="1:42" ht="12.75">
      <c r="A31">
        <v>5</v>
      </c>
      <c r="B31" s="3" t="s">
        <v>90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3"/>
      <c r="R31" s="49"/>
      <c r="S31" s="49"/>
      <c r="T31" s="49"/>
      <c r="U31" s="33"/>
      <c r="V31" s="33"/>
      <c r="W31" s="49"/>
      <c r="X31" s="49"/>
      <c r="Y31" s="49"/>
      <c r="Z31" s="49"/>
      <c r="AA31" s="13"/>
      <c r="AB31" s="33"/>
      <c r="AC31" s="33"/>
      <c r="AD31" s="33"/>
      <c r="AG31" s="49"/>
      <c r="AH31" s="49"/>
      <c r="AI31" s="49"/>
      <c r="AJ31" s="49"/>
      <c r="AK31" s="49"/>
      <c r="AL31" s="49"/>
      <c r="AM31" s="49"/>
      <c r="AN31" s="49"/>
      <c r="AO31" s="76">
        <f t="shared" si="0"/>
        <v>0</v>
      </c>
      <c r="AP31" s="76">
        <f t="shared" si="1"/>
        <v>0</v>
      </c>
    </row>
    <row r="32" spans="2:42" ht="12.75">
      <c r="B32" s="3" t="s">
        <v>95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3"/>
      <c r="R32" s="49"/>
      <c r="S32" s="49"/>
      <c r="T32" s="49"/>
      <c r="U32" s="33"/>
      <c r="V32" s="33"/>
      <c r="W32" s="49"/>
      <c r="X32" s="49"/>
      <c r="Y32" s="49"/>
      <c r="Z32" s="49"/>
      <c r="AA32" s="13"/>
      <c r="AB32" s="33"/>
      <c r="AC32" s="33"/>
      <c r="AD32" s="33"/>
      <c r="AG32" s="49"/>
      <c r="AH32" s="49"/>
      <c r="AI32" s="49"/>
      <c r="AJ32" s="49"/>
      <c r="AK32" s="49"/>
      <c r="AL32" s="49"/>
      <c r="AM32" s="49"/>
      <c r="AN32" s="49"/>
      <c r="AO32" s="76">
        <f t="shared" si="0"/>
        <v>0</v>
      </c>
      <c r="AP32" s="76">
        <f t="shared" si="1"/>
        <v>0</v>
      </c>
    </row>
    <row r="33" spans="3:42" ht="12.7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3"/>
      <c r="AB33" s="33"/>
      <c r="AC33" s="33"/>
      <c r="AD33" s="33"/>
      <c r="AG33" s="33"/>
      <c r="AH33" s="33"/>
      <c r="AI33" s="33"/>
      <c r="AJ33" s="33"/>
      <c r="AK33" s="33"/>
      <c r="AL33" s="33"/>
      <c r="AM33" s="33"/>
      <c r="AN33" s="33"/>
      <c r="AO33" s="76">
        <f t="shared" si="0"/>
        <v>0</v>
      </c>
      <c r="AP33" s="76">
        <f t="shared" si="1"/>
        <v>0</v>
      </c>
    </row>
    <row r="34" spans="2:42" ht="12.75">
      <c r="B34" t="s">
        <v>91</v>
      </c>
      <c r="C34" s="33">
        <v>1243788</v>
      </c>
      <c r="D34" s="33">
        <v>3650545</v>
      </c>
      <c r="E34" s="33">
        <v>3985257</v>
      </c>
      <c r="F34" s="33">
        <v>5030123</v>
      </c>
      <c r="G34" s="33">
        <v>3650545</v>
      </c>
      <c r="H34" s="33">
        <v>7178759</v>
      </c>
      <c r="I34" s="33">
        <v>6254250</v>
      </c>
      <c r="J34" s="33">
        <v>2527478</v>
      </c>
      <c r="K34" s="33">
        <v>5030123</v>
      </c>
      <c r="L34" s="33">
        <v>1891140</v>
      </c>
      <c r="M34" s="33">
        <v>7178759</v>
      </c>
      <c r="N34" s="33">
        <v>4571032</v>
      </c>
      <c r="O34" s="33">
        <v>3424148</v>
      </c>
      <c r="P34" s="33">
        <v>4686426</v>
      </c>
      <c r="Q34" s="33">
        <v>2008364</v>
      </c>
      <c r="R34" s="33">
        <v>2832912</v>
      </c>
      <c r="S34" s="33">
        <v>4571032</v>
      </c>
      <c r="T34" s="33">
        <v>3187090</v>
      </c>
      <c r="U34" s="33">
        <v>2008364</v>
      </c>
      <c r="V34" s="33">
        <v>2584174</v>
      </c>
      <c r="W34" s="33">
        <v>2832912</v>
      </c>
      <c r="X34" s="33">
        <v>2220746</v>
      </c>
      <c r="Y34" s="33">
        <v>2603234</v>
      </c>
      <c r="Z34" s="33">
        <v>2649207</v>
      </c>
      <c r="AA34" s="13">
        <v>3187090</v>
      </c>
      <c r="AB34" s="33"/>
      <c r="AC34" s="33"/>
      <c r="AD34" s="33"/>
      <c r="AG34" s="33">
        <v>1891140</v>
      </c>
      <c r="AH34" s="33">
        <v>2603234</v>
      </c>
      <c r="AI34" s="33">
        <v>3650545</v>
      </c>
      <c r="AJ34" s="33">
        <v>7178759</v>
      </c>
      <c r="AK34" s="33">
        <v>3768044</v>
      </c>
      <c r="AL34" s="33">
        <v>3424147.83</v>
      </c>
      <c r="AM34" s="33">
        <v>2689834</v>
      </c>
      <c r="AN34" s="33">
        <v>6254250</v>
      </c>
      <c r="AO34" s="76">
        <f t="shared" si="0"/>
        <v>-2524256</v>
      </c>
      <c r="AP34" s="76">
        <f t="shared" si="1"/>
        <v>226397.16999999993</v>
      </c>
    </row>
    <row r="35" spans="2:42" ht="12.75">
      <c r="B35" t="s">
        <v>92</v>
      </c>
      <c r="C35" s="50">
        <v>16474</v>
      </c>
      <c r="D35" s="50">
        <v>15886</v>
      </c>
      <c r="E35" s="50">
        <v>15886</v>
      </c>
      <c r="F35" s="50">
        <v>15350</v>
      </c>
      <c r="G35" s="50">
        <v>15886</v>
      </c>
      <c r="H35" s="50">
        <v>15320</v>
      </c>
      <c r="I35" s="50">
        <v>15886</v>
      </c>
      <c r="J35" s="50">
        <v>37801</v>
      </c>
      <c r="K35" s="50">
        <v>15350</v>
      </c>
      <c r="L35" s="50">
        <v>14773</v>
      </c>
      <c r="M35" s="50">
        <v>15320</v>
      </c>
      <c r="N35" s="50">
        <v>14773</v>
      </c>
      <c r="O35" s="50">
        <v>15886</v>
      </c>
      <c r="P35" s="50">
        <v>38056</v>
      </c>
      <c r="Q35" s="50">
        <v>14773</v>
      </c>
      <c r="R35" s="50">
        <v>14204</v>
      </c>
      <c r="S35" s="50">
        <v>14773</v>
      </c>
      <c r="T35" s="50">
        <v>2014204</v>
      </c>
      <c r="U35" s="50">
        <v>14773</v>
      </c>
      <c r="V35" s="50">
        <v>3013625</v>
      </c>
      <c r="W35" s="50">
        <v>14204</v>
      </c>
      <c r="X35" s="50">
        <v>3109079</v>
      </c>
      <c r="Y35" s="50">
        <v>14204</v>
      </c>
      <c r="Z35" s="50">
        <v>3305968</v>
      </c>
      <c r="AA35" s="47">
        <v>2014204</v>
      </c>
      <c r="AB35" s="33"/>
      <c r="AC35" s="33"/>
      <c r="AD35" s="33"/>
      <c r="AG35" s="50">
        <v>14773</v>
      </c>
      <c r="AH35" s="50">
        <v>14204</v>
      </c>
      <c r="AI35" s="50">
        <v>15886</v>
      </c>
      <c r="AJ35" s="50">
        <v>15320</v>
      </c>
      <c r="AK35" s="50">
        <v>15886</v>
      </c>
      <c r="AL35" s="50">
        <v>15886.04</v>
      </c>
      <c r="AM35" s="50">
        <v>15886</v>
      </c>
      <c r="AN35" s="50">
        <v>15886</v>
      </c>
      <c r="AO35" s="76">
        <f t="shared" si="0"/>
        <v>588</v>
      </c>
      <c r="AP35" s="76">
        <f t="shared" si="1"/>
        <v>-0.040000000000873115</v>
      </c>
    </row>
    <row r="36" spans="2:42" ht="12.75">
      <c r="B36" s="42" t="s">
        <v>93</v>
      </c>
      <c r="C36" s="33">
        <f aca="true" t="shared" si="7" ref="C36:AA36">SUM(C34:C35)</f>
        <v>1260262</v>
      </c>
      <c r="D36" s="33">
        <f>SUM(D34:D35)</f>
        <v>3666431</v>
      </c>
      <c r="E36" s="33">
        <f>SUM(E34:E35)</f>
        <v>4001143</v>
      </c>
      <c r="F36" s="33">
        <f t="shared" si="7"/>
        <v>5045473</v>
      </c>
      <c r="G36" s="33">
        <f>SUM(G34:G35)</f>
        <v>3666431</v>
      </c>
      <c r="H36" s="33">
        <f>SUM(H34:H35)</f>
        <v>7194079</v>
      </c>
      <c r="I36" s="33">
        <f t="shared" si="7"/>
        <v>6270136</v>
      </c>
      <c r="J36" s="33">
        <f>SUM(J34:J35)</f>
        <v>2565279</v>
      </c>
      <c r="K36" s="33">
        <f t="shared" si="7"/>
        <v>5045473</v>
      </c>
      <c r="L36" s="33">
        <f>SUM(L34:L35)</f>
        <v>1905913</v>
      </c>
      <c r="M36" s="33">
        <f t="shared" si="7"/>
        <v>7194079</v>
      </c>
      <c r="N36" s="33">
        <f t="shared" si="7"/>
        <v>4585805</v>
      </c>
      <c r="O36" s="33">
        <f>SUM(O34:O35)</f>
        <v>3440034</v>
      </c>
      <c r="P36" s="33">
        <f>SUM(P34:P35)</f>
        <v>4724482</v>
      </c>
      <c r="Q36" s="33">
        <f t="shared" si="7"/>
        <v>2023137</v>
      </c>
      <c r="R36" s="13">
        <f t="shared" si="7"/>
        <v>2847116</v>
      </c>
      <c r="S36" s="33">
        <f t="shared" si="7"/>
        <v>4585805</v>
      </c>
      <c r="T36" s="33">
        <f t="shared" si="7"/>
        <v>5201294</v>
      </c>
      <c r="U36" s="13">
        <f t="shared" si="7"/>
        <v>2023137</v>
      </c>
      <c r="V36" s="13">
        <f t="shared" si="7"/>
        <v>5597799</v>
      </c>
      <c r="W36" s="13">
        <f t="shared" si="7"/>
        <v>2847116</v>
      </c>
      <c r="X36" s="13">
        <f t="shared" si="7"/>
        <v>5329825</v>
      </c>
      <c r="Y36" s="13">
        <f t="shared" si="7"/>
        <v>2617438</v>
      </c>
      <c r="Z36" s="13">
        <f t="shared" si="7"/>
        <v>5955175</v>
      </c>
      <c r="AA36" s="13">
        <f t="shared" si="7"/>
        <v>5201294</v>
      </c>
      <c r="AB36" s="33"/>
      <c r="AC36" s="33"/>
      <c r="AD36" s="33"/>
      <c r="AG36" s="33">
        <f aca="true" t="shared" si="8" ref="AG36:AN36">SUM(AG34:AG35)</f>
        <v>1905913</v>
      </c>
      <c r="AH36" s="33">
        <f t="shared" si="8"/>
        <v>2617438</v>
      </c>
      <c r="AI36" s="33">
        <f t="shared" si="8"/>
        <v>3666431</v>
      </c>
      <c r="AJ36" s="33">
        <f t="shared" si="8"/>
        <v>7194079</v>
      </c>
      <c r="AK36" s="33">
        <f t="shared" si="8"/>
        <v>3783930</v>
      </c>
      <c r="AL36" s="33">
        <f t="shared" si="8"/>
        <v>3440033.87</v>
      </c>
      <c r="AM36" s="33">
        <f t="shared" si="8"/>
        <v>2705720</v>
      </c>
      <c r="AN36" s="33">
        <f t="shared" si="8"/>
        <v>6270136</v>
      </c>
      <c r="AO36" s="76">
        <f t="shared" si="0"/>
        <v>-2523668</v>
      </c>
      <c r="AP36" s="76">
        <f t="shared" si="1"/>
        <v>226397.1299999999</v>
      </c>
    </row>
    <row r="37" spans="3:42" ht="12.7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13"/>
      <c r="AB37" s="33"/>
      <c r="AC37" s="33"/>
      <c r="AD37" s="33"/>
      <c r="AG37" s="33"/>
      <c r="AH37" s="33"/>
      <c r="AI37" s="33"/>
      <c r="AJ37" s="33"/>
      <c r="AK37" s="33"/>
      <c r="AL37" s="33"/>
      <c r="AM37" s="33"/>
      <c r="AN37" s="33"/>
      <c r="AO37" s="76">
        <f t="shared" si="0"/>
        <v>0</v>
      </c>
      <c r="AP37" s="76">
        <f t="shared" si="1"/>
        <v>0</v>
      </c>
    </row>
    <row r="38" spans="2:42" ht="12.75">
      <c r="B38" t="s">
        <v>94</v>
      </c>
      <c r="C38" s="33">
        <v>-21357428</v>
      </c>
      <c r="D38" s="33">
        <v>-21837586</v>
      </c>
      <c r="E38" s="33">
        <v>-18166849</v>
      </c>
      <c r="F38" s="33">
        <v>-21010202</v>
      </c>
      <c r="G38" s="33">
        <v>-21837586</v>
      </c>
      <c r="H38" s="33">
        <v>-16722438</v>
      </c>
      <c r="I38" s="33">
        <v>-22409378</v>
      </c>
      <c r="J38" s="33">
        <f>-J44</f>
        <v>-17657434</v>
      </c>
      <c r="K38" s="33">
        <v>-21010202</v>
      </c>
      <c r="L38" s="33">
        <v>-18471794</v>
      </c>
      <c r="M38" s="33">
        <v>-16722438</v>
      </c>
      <c r="N38" s="33">
        <v>-13079206</v>
      </c>
      <c r="O38" s="33">
        <v>-21651215</v>
      </c>
      <c r="P38" s="33">
        <v>-18398844</v>
      </c>
      <c r="Q38" s="33">
        <v>-18439264</v>
      </c>
      <c r="R38" s="33">
        <v>-18370062</v>
      </c>
      <c r="S38" s="33">
        <v>-13079206</v>
      </c>
      <c r="T38" s="33">
        <v>-15751497</v>
      </c>
      <c r="U38" s="33">
        <v>-18439264</v>
      </c>
      <c r="V38" s="33">
        <v>-12866187</v>
      </c>
      <c r="W38" s="33">
        <v>-18370062</v>
      </c>
      <c r="X38" s="33">
        <v>-16842890</v>
      </c>
      <c r="Y38" s="33">
        <v>-17551447</v>
      </c>
      <c r="Z38" s="33">
        <v>-14335432</v>
      </c>
      <c r="AA38" s="13">
        <v>-15751497</v>
      </c>
      <c r="AB38" s="33"/>
      <c r="AC38" s="33"/>
      <c r="AD38" s="33"/>
      <c r="AG38" s="33">
        <v>-18471794</v>
      </c>
      <c r="AH38" s="33">
        <v>-17551447</v>
      </c>
      <c r="AI38" s="33">
        <v>-21837586</v>
      </c>
      <c r="AJ38" s="33">
        <v>-16722438</v>
      </c>
      <c r="AK38" s="33">
        <v>-22144216</v>
      </c>
      <c r="AL38" s="33">
        <v>-21651214.5</v>
      </c>
      <c r="AM38" s="33">
        <v>-20817497</v>
      </c>
      <c r="AN38" s="33">
        <v>-22409378</v>
      </c>
      <c r="AO38" s="76">
        <f t="shared" si="0"/>
        <v>786788</v>
      </c>
      <c r="AP38" s="76">
        <f t="shared" si="1"/>
        <v>-186371.5</v>
      </c>
    </row>
    <row r="39" spans="3:42" ht="13.5" thickBot="1">
      <c r="C39" s="54">
        <f aca="true" t="shared" si="9" ref="C39:T39">+C36+C38</f>
        <v>-20097166</v>
      </c>
      <c r="D39" s="54">
        <f>+D36+D38</f>
        <v>-18171155</v>
      </c>
      <c r="E39" s="54">
        <f>+E36+E38</f>
        <v>-14165706</v>
      </c>
      <c r="F39" s="54">
        <f t="shared" si="9"/>
        <v>-15964729</v>
      </c>
      <c r="G39" s="54">
        <f>+G36+G38</f>
        <v>-18171155</v>
      </c>
      <c r="H39" s="54">
        <f>+H36+H38</f>
        <v>-9528359</v>
      </c>
      <c r="I39" s="54">
        <f t="shared" si="9"/>
        <v>-16139242</v>
      </c>
      <c r="J39" s="54">
        <f>+J36+J38</f>
        <v>-15092155</v>
      </c>
      <c r="K39" s="54">
        <f t="shared" si="9"/>
        <v>-15964729</v>
      </c>
      <c r="L39" s="54">
        <f>+L36+L38</f>
        <v>-16565881</v>
      </c>
      <c r="M39" s="54">
        <f t="shared" si="9"/>
        <v>-9528359</v>
      </c>
      <c r="N39" s="54">
        <f t="shared" si="9"/>
        <v>-8493401</v>
      </c>
      <c r="O39" s="54">
        <f>+O36+O38</f>
        <v>-18211181</v>
      </c>
      <c r="P39" s="54">
        <f>+P36+P38</f>
        <v>-13674362</v>
      </c>
      <c r="Q39" s="54">
        <f t="shared" si="9"/>
        <v>-16416127</v>
      </c>
      <c r="R39" s="14">
        <f t="shared" si="9"/>
        <v>-15522946</v>
      </c>
      <c r="S39" s="54">
        <f t="shared" si="9"/>
        <v>-8493401</v>
      </c>
      <c r="T39" s="54">
        <f t="shared" si="9"/>
        <v>-10550203</v>
      </c>
      <c r="U39" s="14">
        <f aca="true" t="shared" si="10" ref="U39:AA39">+U36+U38</f>
        <v>-16416127</v>
      </c>
      <c r="V39" s="14">
        <f t="shared" si="10"/>
        <v>-7268388</v>
      </c>
      <c r="W39" s="14">
        <f t="shared" si="10"/>
        <v>-15522946</v>
      </c>
      <c r="X39" s="14">
        <f t="shared" si="10"/>
        <v>-11513065</v>
      </c>
      <c r="Y39" s="14">
        <f t="shared" si="10"/>
        <v>-14934009</v>
      </c>
      <c r="Z39" s="14">
        <f t="shared" si="10"/>
        <v>-8380257</v>
      </c>
      <c r="AA39" s="14">
        <f t="shared" si="10"/>
        <v>-10550203</v>
      </c>
      <c r="AB39" s="33"/>
      <c r="AC39" s="33"/>
      <c r="AD39" s="33"/>
      <c r="AG39" s="54">
        <f aca="true" t="shared" si="11" ref="AG39:AN39">+AG36+AG38</f>
        <v>-16565881</v>
      </c>
      <c r="AH39" s="54">
        <f t="shared" si="11"/>
        <v>-14934009</v>
      </c>
      <c r="AI39" s="54">
        <f t="shared" si="11"/>
        <v>-18171155</v>
      </c>
      <c r="AJ39" s="54">
        <f t="shared" si="11"/>
        <v>-9528359</v>
      </c>
      <c r="AK39" s="54">
        <f t="shared" si="11"/>
        <v>-18360286</v>
      </c>
      <c r="AL39" s="54">
        <f t="shared" si="11"/>
        <v>-18211180.63</v>
      </c>
      <c r="AM39" s="54">
        <f t="shared" si="11"/>
        <v>-18111777</v>
      </c>
      <c r="AN39" s="54">
        <f t="shared" si="11"/>
        <v>-16139242</v>
      </c>
      <c r="AO39" s="76">
        <f aca="true" t="shared" si="12" ref="AO39:AO67">+C39-AK39</f>
        <v>-1736880</v>
      </c>
      <c r="AP39" s="76">
        <f aca="true" t="shared" si="13" ref="AP39:AP67">+D39-AL39</f>
        <v>40025.62999999896</v>
      </c>
    </row>
    <row r="40" spans="3:42" ht="13.5" thickTop="1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13"/>
      <c r="AB40" s="33"/>
      <c r="AC40" s="33"/>
      <c r="AD40" s="33"/>
      <c r="AG40" s="33"/>
      <c r="AH40" s="33"/>
      <c r="AI40" s="33"/>
      <c r="AJ40" s="33"/>
      <c r="AK40" s="33"/>
      <c r="AL40" s="33"/>
      <c r="AM40" s="33"/>
      <c r="AN40" s="33"/>
      <c r="AO40" s="76">
        <f t="shared" si="12"/>
        <v>0</v>
      </c>
      <c r="AP40" s="76">
        <f t="shared" si="13"/>
        <v>0</v>
      </c>
    </row>
    <row r="41" spans="1:42" ht="12.75">
      <c r="A41">
        <v>6</v>
      </c>
      <c r="B41" s="3" t="s">
        <v>96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33"/>
      <c r="R41" s="49"/>
      <c r="S41" s="49"/>
      <c r="T41" s="49"/>
      <c r="U41" s="33"/>
      <c r="V41" s="33"/>
      <c r="W41" s="49"/>
      <c r="X41" s="49"/>
      <c r="Y41" s="49"/>
      <c r="Z41" s="49"/>
      <c r="AA41" s="13"/>
      <c r="AB41" s="33"/>
      <c r="AC41" s="33"/>
      <c r="AD41" s="33"/>
      <c r="AG41" s="49"/>
      <c r="AH41" s="49"/>
      <c r="AI41" s="49"/>
      <c r="AJ41" s="49"/>
      <c r="AK41" s="49"/>
      <c r="AL41" s="49"/>
      <c r="AM41" s="49"/>
      <c r="AN41" s="49"/>
      <c r="AO41" s="76">
        <f t="shared" si="12"/>
        <v>0</v>
      </c>
      <c r="AP41" s="76">
        <f t="shared" si="13"/>
        <v>0</v>
      </c>
    </row>
    <row r="42" spans="3:42" ht="12.7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13"/>
      <c r="AB42" s="33"/>
      <c r="AC42" s="33"/>
      <c r="AD42" s="33"/>
      <c r="AG42" s="33"/>
      <c r="AH42" s="33"/>
      <c r="AI42" s="33"/>
      <c r="AJ42" s="33"/>
      <c r="AK42" s="33"/>
      <c r="AL42" s="33"/>
      <c r="AM42" s="33"/>
      <c r="AN42" s="33"/>
      <c r="AO42" s="76">
        <f t="shared" si="12"/>
        <v>0</v>
      </c>
      <c r="AP42" s="76">
        <f t="shared" si="13"/>
        <v>0</v>
      </c>
    </row>
    <row r="43" spans="2:42" ht="12.75">
      <c r="B43" t="s">
        <v>97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13"/>
      <c r="AB43" s="33"/>
      <c r="AC43" s="33"/>
      <c r="AD43" s="33"/>
      <c r="AG43" s="33"/>
      <c r="AH43" s="33"/>
      <c r="AI43" s="33"/>
      <c r="AJ43" s="33"/>
      <c r="AK43" s="33"/>
      <c r="AL43" s="33"/>
      <c r="AM43" s="33"/>
      <c r="AN43" s="33"/>
      <c r="AO43" s="76">
        <f t="shared" si="12"/>
        <v>0</v>
      </c>
      <c r="AP43" s="76">
        <f t="shared" si="13"/>
        <v>0</v>
      </c>
    </row>
    <row r="44" spans="2:42" ht="12.75">
      <c r="B44" t="s">
        <v>98</v>
      </c>
      <c r="C44" s="33">
        <f>-C38</f>
        <v>21357428</v>
      </c>
      <c r="D44" s="33">
        <v>21837586</v>
      </c>
      <c r="E44" s="33">
        <f>-E38</f>
        <v>18166849</v>
      </c>
      <c r="F44" s="33">
        <v>21010202</v>
      </c>
      <c r="G44" s="33">
        <v>21837586</v>
      </c>
      <c r="H44" s="33">
        <f>-H38</f>
        <v>16722438</v>
      </c>
      <c r="I44" s="33">
        <f>-I38</f>
        <v>22409378</v>
      </c>
      <c r="J44" s="33">
        <v>17657434</v>
      </c>
      <c r="K44" s="33">
        <v>21010202</v>
      </c>
      <c r="L44" s="33">
        <v>18471794</v>
      </c>
      <c r="M44" s="33">
        <f>-M38</f>
        <v>16722438</v>
      </c>
      <c r="N44" s="33">
        <v>13079206</v>
      </c>
      <c r="O44" s="33">
        <v>21651215</v>
      </c>
      <c r="P44" s="33">
        <v>18398844</v>
      </c>
      <c r="Q44" s="33">
        <v>18439264</v>
      </c>
      <c r="R44" s="33">
        <v>18370062</v>
      </c>
      <c r="S44" s="33">
        <v>13079206</v>
      </c>
      <c r="T44" s="33">
        <v>15751497</v>
      </c>
      <c r="U44" s="33">
        <v>18439264</v>
      </c>
      <c r="V44" s="33">
        <v>12866187</v>
      </c>
      <c r="W44" s="33">
        <v>18370062</v>
      </c>
      <c r="X44" s="33">
        <v>16842890</v>
      </c>
      <c r="Y44" s="33">
        <v>17551447</v>
      </c>
      <c r="Z44" s="33">
        <v>14335432</v>
      </c>
      <c r="AA44" s="13">
        <v>15751497</v>
      </c>
      <c r="AB44" s="33"/>
      <c r="AC44" s="33"/>
      <c r="AD44" s="33"/>
      <c r="AG44" s="33">
        <v>18471794</v>
      </c>
      <c r="AH44" s="33">
        <v>17551447</v>
      </c>
      <c r="AI44" s="33">
        <v>21837586</v>
      </c>
      <c r="AJ44" s="33">
        <f>-AJ38</f>
        <v>16722438</v>
      </c>
      <c r="AK44" s="33">
        <f>-AK38</f>
        <v>22144216</v>
      </c>
      <c r="AL44" s="33">
        <f>-AL38</f>
        <v>21651214.5</v>
      </c>
      <c r="AM44" s="33">
        <f>-AM38</f>
        <v>20817497</v>
      </c>
      <c r="AN44" s="33">
        <f>-AN38</f>
        <v>22409378</v>
      </c>
      <c r="AO44" s="76">
        <f t="shared" si="12"/>
        <v>-786788</v>
      </c>
      <c r="AP44" s="76">
        <f t="shared" si="13"/>
        <v>186371.5</v>
      </c>
    </row>
    <row r="45" spans="2:42" ht="12.75">
      <c r="B45" t="s">
        <v>99</v>
      </c>
      <c r="C45" s="33">
        <v>30406692</v>
      </c>
      <c r="D45" s="33">
        <v>25330424</v>
      </c>
      <c r="E45" s="33">
        <v>31883577</v>
      </c>
      <c r="F45" s="33">
        <v>29160412</v>
      </c>
      <c r="G45" s="33">
        <v>25330424</v>
      </c>
      <c r="H45" s="33">
        <v>33791098</v>
      </c>
      <c r="I45" s="33">
        <v>29617605</v>
      </c>
      <c r="J45" s="33">
        <v>22692653</v>
      </c>
      <c r="K45" s="33">
        <v>29160412</v>
      </c>
      <c r="L45" s="33">
        <v>21076628</v>
      </c>
      <c r="M45" s="33">
        <v>33791098</v>
      </c>
      <c r="N45" s="33">
        <v>19789896</v>
      </c>
      <c r="O45" s="33">
        <v>26561874</v>
      </c>
      <c r="P45" s="33">
        <v>34117668</v>
      </c>
      <c r="Q45" s="33">
        <v>18202679</v>
      </c>
      <c r="R45" s="33">
        <v>18357299</v>
      </c>
      <c r="S45" s="33">
        <v>19789896</v>
      </c>
      <c r="T45" s="33">
        <v>17005137</v>
      </c>
      <c r="U45" s="33">
        <v>18202679</v>
      </c>
      <c r="V45" s="33">
        <v>21648151</v>
      </c>
      <c r="W45" s="33">
        <v>18357299</v>
      </c>
      <c r="X45" s="33">
        <v>23762177</v>
      </c>
      <c r="Y45" s="33">
        <v>18661749</v>
      </c>
      <c r="Z45" s="33">
        <v>16800118</v>
      </c>
      <c r="AA45" s="13">
        <v>17005137</v>
      </c>
      <c r="AB45" s="33"/>
      <c r="AC45" s="33"/>
      <c r="AD45" s="33"/>
      <c r="AG45" s="33">
        <v>21076628</v>
      </c>
      <c r="AH45" s="33">
        <v>18661749</v>
      </c>
      <c r="AI45" s="33">
        <v>25330424</v>
      </c>
      <c r="AJ45" s="33">
        <v>33791098</v>
      </c>
      <c r="AK45" s="33">
        <v>25081000</v>
      </c>
      <c r="AL45" s="33">
        <v>26561874.38</v>
      </c>
      <c r="AM45" s="33">
        <v>26739000</v>
      </c>
      <c r="AN45" s="33">
        <v>29617605</v>
      </c>
      <c r="AO45" s="76">
        <f t="shared" si="12"/>
        <v>5325692</v>
      </c>
      <c r="AP45" s="76">
        <f t="shared" si="13"/>
        <v>-1231450.379999999</v>
      </c>
    </row>
    <row r="46" spans="2:42" ht="12.75">
      <c r="B46" t="s">
        <v>100</v>
      </c>
      <c r="C46" s="33">
        <v>2956703</v>
      </c>
      <c r="D46" s="33">
        <v>3021277</v>
      </c>
      <c r="E46" s="33">
        <v>3006361</v>
      </c>
      <c r="F46" s="33">
        <v>618112</v>
      </c>
      <c r="G46" s="33">
        <v>3021277</v>
      </c>
      <c r="H46" s="33">
        <v>1100146</v>
      </c>
      <c r="I46" s="33">
        <v>219193</v>
      </c>
      <c r="J46" s="33">
        <v>2095957</v>
      </c>
      <c r="K46" s="33">
        <v>618112</v>
      </c>
      <c r="L46" s="33">
        <v>1607149</v>
      </c>
      <c r="M46" s="33">
        <v>1100146</v>
      </c>
      <c r="N46" s="33">
        <v>2062901</v>
      </c>
      <c r="O46" s="33">
        <v>1292820</v>
      </c>
      <c r="P46" s="33">
        <v>1575329</v>
      </c>
      <c r="Q46" s="33">
        <v>2499781</v>
      </c>
      <c r="R46" s="33">
        <v>2343918</v>
      </c>
      <c r="S46" s="33">
        <v>2062901</v>
      </c>
      <c r="T46" s="33">
        <v>2602718</v>
      </c>
      <c r="U46" s="33">
        <v>2499781</v>
      </c>
      <c r="V46" s="51">
        <v>2402899</v>
      </c>
      <c r="W46" s="33">
        <v>2343918</v>
      </c>
      <c r="X46" s="33">
        <v>2375241</v>
      </c>
      <c r="Y46" s="33">
        <v>2473721</v>
      </c>
      <c r="Z46" s="33">
        <v>2433516</v>
      </c>
      <c r="AA46" s="13">
        <v>2602718</v>
      </c>
      <c r="AB46" s="33"/>
      <c r="AC46" s="33"/>
      <c r="AD46" s="33"/>
      <c r="AG46" s="33">
        <v>1607149</v>
      </c>
      <c r="AH46" s="33">
        <v>2473721</v>
      </c>
      <c r="AI46" s="33">
        <v>3021277</v>
      </c>
      <c r="AJ46" s="33">
        <v>1100146</v>
      </c>
      <c r="AK46" s="33">
        <v>2974453</v>
      </c>
      <c r="AL46" s="33">
        <v>1292819.55</v>
      </c>
      <c r="AM46" s="33">
        <v>2995297</v>
      </c>
      <c r="AN46" s="33">
        <v>219193</v>
      </c>
      <c r="AO46" s="76">
        <f t="shared" si="12"/>
        <v>-17750</v>
      </c>
      <c r="AP46" s="76">
        <f t="shared" si="13"/>
        <v>1728457.45</v>
      </c>
    </row>
    <row r="47" spans="2:42" ht="12.75">
      <c r="B47" t="s">
        <v>101</v>
      </c>
      <c r="C47" s="33">
        <v>2633413</v>
      </c>
      <c r="D47" s="33">
        <v>2889749</v>
      </c>
      <c r="E47" s="33">
        <v>1779462</v>
      </c>
      <c r="F47" s="33">
        <v>2490852</v>
      </c>
      <c r="G47" s="33">
        <v>2889749</v>
      </c>
      <c r="H47" s="33">
        <v>2539168</v>
      </c>
      <c r="I47" s="33">
        <v>2483810</v>
      </c>
      <c r="J47" s="33">
        <v>2420253</v>
      </c>
      <c r="K47" s="33">
        <v>2490852</v>
      </c>
      <c r="L47" s="33">
        <v>1952362</v>
      </c>
      <c r="M47" s="33">
        <v>2539168</v>
      </c>
      <c r="N47" s="33">
        <v>1649301</v>
      </c>
      <c r="O47" s="33">
        <v>2376424</v>
      </c>
      <c r="P47" s="33">
        <v>2490176</v>
      </c>
      <c r="Q47" s="33">
        <v>1150147</v>
      </c>
      <c r="R47" s="33">
        <v>836035</v>
      </c>
      <c r="S47" s="33">
        <v>1649301</v>
      </c>
      <c r="T47" s="33">
        <v>750224</v>
      </c>
      <c r="U47" s="33">
        <v>1150147</v>
      </c>
      <c r="V47" s="33">
        <v>513782</v>
      </c>
      <c r="W47" s="33">
        <v>836035</v>
      </c>
      <c r="X47" s="33">
        <v>418795</v>
      </c>
      <c r="Y47" s="33">
        <v>730244</v>
      </c>
      <c r="Z47" s="33">
        <v>424075</v>
      </c>
      <c r="AA47" s="13">
        <v>750224</v>
      </c>
      <c r="AB47" s="33"/>
      <c r="AC47" s="33"/>
      <c r="AD47" s="33"/>
      <c r="AG47" s="33">
        <v>1952362</v>
      </c>
      <c r="AH47" s="33">
        <v>730243</v>
      </c>
      <c r="AI47" s="33">
        <v>2889749</v>
      </c>
      <c r="AJ47" s="33">
        <v>2539168</v>
      </c>
      <c r="AK47" s="33">
        <v>2729353</v>
      </c>
      <c r="AL47" s="33">
        <v>2376423.68</v>
      </c>
      <c r="AM47" s="33">
        <v>2963466</v>
      </c>
      <c r="AN47" s="33">
        <v>2483810</v>
      </c>
      <c r="AO47" s="76">
        <f t="shared" si="12"/>
        <v>-95940</v>
      </c>
      <c r="AP47" s="76">
        <f t="shared" si="13"/>
        <v>513325.31999999983</v>
      </c>
    </row>
    <row r="48" spans="3:42" ht="13.5" thickBot="1">
      <c r="C48" s="54">
        <f aca="true" t="shared" si="14" ref="C48:T48">SUM(C44:C47)</f>
        <v>57354236</v>
      </c>
      <c r="D48" s="54">
        <f>SUM(D44:D47)</f>
        <v>53079036</v>
      </c>
      <c r="E48" s="54">
        <f>SUM(E44:E47)</f>
        <v>54836249</v>
      </c>
      <c r="F48" s="54">
        <f t="shared" si="14"/>
        <v>53279578</v>
      </c>
      <c r="G48" s="54">
        <f>SUM(G44:G47)</f>
        <v>53079036</v>
      </c>
      <c r="H48" s="54">
        <f>SUM(H44:H47)</f>
        <v>54152850</v>
      </c>
      <c r="I48" s="54">
        <f t="shared" si="14"/>
        <v>54729986</v>
      </c>
      <c r="J48" s="54">
        <f>SUM(J44:J47)</f>
        <v>44866297</v>
      </c>
      <c r="K48" s="54">
        <f t="shared" si="14"/>
        <v>53279578</v>
      </c>
      <c r="L48" s="54">
        <f>SUM(L44:L47)</f>
        <v>43107933</v>
      </c>
      <c r="M48" s="54">
        <f t="shared" si="14"/>
        <v>54152850</v>
      </c>
      <c r="N48" s="54">
        <f t="shared" si="14"/>
        <v>36581304</v>
      </c>
      <c r="O48" s="54">
        <f>SUM(O44:O47)</f>
        <v>51882333</v>
      </c>
      <c r="P48" s="54">
        <f>SUM(P44:P47)</f>
        <v>56582017</v>
      </c>
      <c r="Q48" s="54">
        <f t="shared" si="14"/>
        <v>40291871</v>
      </c>
      <c r="R48" s="14">
        <f t="shared" si="14"/>
        <v>39907314</v>
      </c>
      <c r="S48" s="54">
        <f t="shared" si="14"/>
        <v>36581304</v>
      </c>
      <c r="T48" s="54">
        <f t="shared" si="14"/>
        <v>36109576</v>
      </c>
      <c r="U48" s="14">
        <f aca="true" t="shared" si="15" ref="U48:AA48">SUM(U44:U47)</f>
        <v>40291871</v>
      </c>
      <c r="V48" s="14">
        <f t="shared" si="15"/>
        <v>37431019</v>
      </c>
      <c r="W48" s="14">
        <f t="shared" si="15"/>
        <v>39907314</v>
      </c>
      <c r="X48" s="14">
        <f t="shared" si="15"/>
        <v>43399103</v>
      </c>
      <c r="Y48" s="14">
        <f t="shared" si="15"/>
        <v>39417161</v>
      </c>
      <c r="Z48" s="14">
        <f t="shared" si="15"/>
        <v>33993141</v>
      </c>
      <c r="AA48" s="14">
        <f t="shared" si="15"/>
        <v>36109576</v>
      </c>
      <c r="AB48" s="33"/>
      <c r="AC48" s="33"/>
      <c r="AD48" s="33"/>
      <c r="AG48" s="54">
        <f aca="true" t="shared" si="16" ref="AG48:AN48">SUM(AG44:AG47)</f>
        <v>43107933</v>
      </c>
      <c r="AH48" s="54">
        <f t="shared" si="16"/>
        <v>39417160</v>
      </c>
      <c r="AI48" s="54">
        <f t="shared" si="16"/>
        <v>53079036</v>
      </c>
      <c r="AJ48" s="54">
        <f t="shared" si="16"/>
        <v>54152850</v>
      </c>
      <c r="AK48" s="54">
        <f t="shared" si="16"/>
        <v>52929022</v>
      </c>
      <c r="AL48" s="54">
        <f t="shared" si="16"/>
        <v>51882332.10999999</v>
      </c>
      <c r="AM48" s="54">
        <f t="shared" si="16"/>
        <v>53515260</v>
      </c>
      <c r="AN48" s="54">
        <f t="shared" si="16"/>
        <v>54729986</v>
      </c>
      <c r="AO48" s="76">
        <f t="shared" si="12"/>
        <v>4425214</v>
      </c>
      <c r="AP48" s="76">
        <f t="shared" si="13"/>
        <v>1196703.890000008</v>
      </c>
    </row>
    <row r="49" spans="3:42" ht="13.5" thickTop="1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3"/>
      <c r="AB49" s="33"/>
      <c r="AC49" s="33"/>
      <c r="AD49" s="33"/>
      <c r="AG49" s="33"/>
      <c r="AH49" s="33"/>
      <c r="AI49" s="33"/>
      <c r="AJ49" s="33"/>
      <c r="AK49" s="33"/>
      <c r="AL49" s="33"/>
      <c r="AM49" s="33"/>
      <c r="AN49" s="33"/>
      <c r="AO49" s="76">
        <f t="shared" si="12"/>
        <v>0</v>
      </c>
      <c r="AP49" s="76">
        <f t="shared" si="13"/>
        <v>0</v>
      </c>
    </row>
    <row r="50" spans="2:42" ht="12.75">
      <c r="B50" t="s">
        <v>102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3"/>
      <c r="AB50" s="33"/>
      <c r="AC50" s="33"/>
      <c r="AD50" s="33"/>
      <c r="AG50" s="33"/>
      <c r="AH50" s="33"/>
      <c r="AI50" s="33"/>
      <c r="AJ50" s="33"/>
      <c r="AK50" s="33"/>
      <c r="AL50" s="33"/>
      <c r="AM50" s="33"/>
      <c r="AN50" s="33"/>
      <c r="AO50" s="76">
        <f t="shared" si="12"/>
        <v>0</v>
      </c>
      <c r="AP50" s="76">
        <f t="shared" si="13"/>
        <v>0</v>
      </c>
    </row>
    <row r="51" spans="2:42" ht="12.75">
      <c r="B51" t="s">
        <v>103</v>
      </c>
      <c r="C51" s="33">
        <v>13464400</v>
      </c>
      <c r="D51" s="33">
        <v>16174498</v>
      </c>
      <c r="E51" s="33">
        <v>15475882</v>
      </c>
      <c r="F51" s="33">
        <f>22373528+13224</f>
        <v>22386752</v>
      </c>
      <c r="G51" s="33">
        <v>16174498</v>
      </c>
      <c r="H51" s="33">
        <v>22256292</v>
      </c>
      <c r="I51" s="33">
        <v>22373753</v>
      </c>
      <c r="J51" s="33">
        <v>333017</v>
      </c>
      <c r="K51" s="33">
        <f>22373528+13224</f>
        <v>22386752</v>
      </c>
      <c r="L51" s="33">
        <v>561895</v>
      </c>
      <c r="M51" s="33">
        <v>22256292</v>
      </c>
      <c r="N51" s="33">
        <v>749916</v>
      </c>
      <c r="O51" s="33">
        <v>17965866</v>
      </c>
      <c r="P51" s="33">
        <v>103400</v>
      </c>
      <c r="Q51" s="33">
        <v>949401</v>
      </c>
      <c r="R51" s="33">
        <v>1722587</v>
      </c>
      <c r="S51" s="33">
        <v>749916</v>
      </c>
      <c r="T51" s="33">
        <v>2946846</v>
      </c>
      <c r="U51" s="33">
        <v>949401</v>
      </c>
      <c r="V51" s="33">
        <v>3969699</v>
      </c>
      <c r="W51" s="33">
        <v>1722587</v>
      </c>
      <c r="X51" s="33">
        <v>2203942</v>
      </c>
      <c r="Y51" s="33">
        <v>2363885</v>
      </c>
      <c r="Z51" s="33">
        <v>2775485</v>
      </c>
      <c r="AA51" s="13">
        <v>2946846</v>
      </c>
      <c r="AB51" s="33"/>
      <c r="AC51" s="33"/>
      <c r="AD51" s="33"/>
      <c r="AG51" s="33">
        <v>561895</v>
      </c>
      <c r="AH51" s="33">
        <v>2363884</v>
      </c>
      <c r="AI51" s="33">
        <v>16174498</v>
      </c>
      <c r="AJ51" s="33">
        <v>22256292</v>
      </c>
      <c r="AK51" s="33">
        <v>14137600</v>
      </c>
      <c r="AL51" s="33">
        <v>17965866</v>
      </c>
      <c r="AM51" s="33">
        <v>14798974</v>
      </c>
      <c r="AN51" s="33">
        <v>22373753</v>
      </c>
      <c r="AO51" s="76">
        <f t="shared" si="12"/>
        <v>-673200</v>
      </c>
      <c r="AP51" s="76">
        <f t="shared" si="13"/>
        <v>-1791368</v>
      </c>
    </row>
    <row r="52" spans="2:42" ht="12.75">
      <c r="B52" t="s">
        <v>104</v>
      </c>
      <c r="C52" s="33">
        <v>3769602</v>
      </c>
      <c r="D52" s="33">
        <v>6061010</v>
      </c>
      <c r="E52" s="33">
        <v>6707644</v>
      </c>
      <c r="F52" s="33">
        <f>4262141+204206</f>
        <v>4466347</v>
      </c>
      <c r="G52" s="33">
        <v>6061010</v>
      </c>
      <c r="H52" s="33">
        <v>4922609</v>
      </c>
      <c r="I52" s="33">
        <v>4175645</v>
      </c>
      <c r="J52" s="33">
        <v>3034844</v>
      </c>
      <c r="K52" s="33">
        <f>4262141+204206</f>
        <v>4466347</v>
      </c>
      <c r="L52" s="33">
        <v>3116879</v>
      </c>
      <c r="M52" s="33">
        <v>4922609</v>
      </c>
      <c r="N52" s="33">
        <v>2963995</v>
      </c>
      <c r="O52" s="33">
        <v>3760971</v>
      </c>
      <c r="P52" s="33">
        <v>3362925</v>
      </c>
      <c r="Q52" s="33">
        <v>2000064</v>
      </c>
      <c r="R52" s="33">
        <v>1368135</v>
      </c>
      <c r="S52" s="33">
        <v>2963995</v>
      </c>
      <c r="T52" s="33">
        <v>1351170</v>
      </c>
      <c r="U52" s="33">
        <v>2000064</v>
      </c>
      <c r="V52" s="33">
        <v>1139474</v>
      </c>
      <c r="W52" s="33">
        <v>1368135</v>
      </c>
      <c r="X52" s="33">
        <v>701966</v>
      </c>
      <c r="Y52" s="33">
        <v>1273250</v>
      </c>
      <c r="Z52" s="33">
        <v>805390</v>
      </c>
      <c r="AA52" s="13">
        <v>1351170</v>
      </c>
      <c r="AB52" s="33"/>
      <c r="AC52" s="33"/>
      <c r="AD52" s="33"/>
      <c r="AG52" s="33">
        <v>3116879</v>
      </c>
      <c r="AH52" s="33">
        <v>1273251</v>
      </c>
      <c r="AI52" s="33">
        <v>6061010</v>
      </c>
      <c r="AJ52" s="33">
        <v>4922609</v>
      </c>
      <c r="AK52" s="33">
        <v>4242851</v>
      </c>
      <c r="AL52" s="33">
        <v>3760971</v>
      </c>
      <c r="AM52" s="33">
        <v>4808689</v>
      </c>
      <c r="AN52" s="33">
        <v>4175645</v>
      </c>
      <c r="AO52" s="76">
        <f t="shared" si="12"/>
        <v>-473249</v>
      </c>
      <c r="AP52" s="76">
        <f t="shared" si="13"/>
        <v>2300039</v>
      </c>
    </row>
    <row r="53" spans="3:42" ht="13.5" thickBot="1">
      <c r="C53" s="54">
        <f aca="true" t="shared" si="17" ref="C53:T53">SUM(C51:C52)</f>
        <v>17234002</v>
      </c>
      <c r="D53" s="54">
        <f>SUM(D51:D52)</f>
        <v>22235508</v>
      </c>
      <c r="E53" s="54">
        <f>SUM(E51:E52)</f>
        <v>22183526</v>
      </c>
      <c r="F53" s="54">
        <f t="shared" si="17"/>
        <v>26853099</v>
      </c>
      <c r="G53" s="54">
        <f>SUM(G51:G52)</f>
        <v>22235508</v>
      </c>
      <c r="H53" s="54">
        <f>SUM(H51:H52)</f>
        <v>27178901</v>
      </c>
      <c r="I53" s="54">
        <f t="shared" si="17"/>
        <v>26549398</v>
      </c>
      <c r="J53" s="54">
        <f>SUM(J51:J52)</f>
        <v>3367861</v>
      </c>
      <c r="K53" s="54">
        <f t="shared" si="17"/>
        <v>26853099</v>
      </c>
      <c r="L53" s="54">
        <f>SUM(L51:L52)</f>
        <v>3678774</v>
      </c>
      <c r="M53" s="54">
        <f t="shared" si="17"/>
        <v>27178901</v>
      </c>
      <c r="N53" s="54">
        <f t="shared" si="17"/>
        <v>3713911</v>
      </c>
      <c r="O53" s="54">
        <f>SUM(O51:O52)</f>
        <v>21726837</v>
      </c>
      <c r="P53" s="54">
        <f>SUM(P51:P52)</f>
        <v>3466325</v>
      </c>
      <c r="Q53" s="54">
        <f t="shared" si="17"/>
        <v>2949465</v>
      </c>
      <c r="R53" s="14">
        <f t="shared" si="17"/>
        <v>3090722</v>
      </c>
      <c r="S53" s="54">
        <f t="shared" si="17"/>
        <v>3713911</v>
      </c>
      <c r="T53" s="54">
        <f t="shared" si="17"/>
        <v>4298016</v>
      </c>
      <c r="U53" s="14">
        <f aca="true" t="shared" si="18" ref="U53:AA53">SUM(U51:U52)</f>
        <v>2949465</v>
      </c>
      <c r="V53" s="14">
        <f t="shared" si="18"/>
        <v>5109173</v>
      </c>
      <c r="W53" s="14">
        <f t="shared" si="18"/>
        <v>3090722</v>
      </c>
      <c r="X53" s="14">
        <f t="shared" si="18"/>
        <v>2905908</v>
      </c>
      <c r="Y53" s="14">
        <f t="shared" si="18"/>
        <v>3637135</v>
      </c>
      <c r="Z53" s="14">
        <f t="shared" si="18"/>
        <v>3580875</v>
      </c>
      <c r="AA53" s="14">
        <f t="shared" si="18"/>
        <v>4298016</v>
      </c>
      <c r="AB53" s="33"/>
      <c r="AC53" s="33"/>
      <c r="AD53" s="33"/>
      <c r="AG53" s="54">
        <f aca="true" t="shared" si="19" ref="AG53:AN53">SUM(AG51:AG52)</f>
        <v>3678774</v>
      </c>
      <c r="AH53" s="54">
        <f t="shared" si="19"/>
        <v>3637135</v>
      </c>
      <c r="AI53" s="54">
        <f t="shared" si="19"/>
        <v>22235508</v>
      </c>
      <c r="AJ53" s="54">
        <f t="shared" si="19"/>
        <v>27178901</v>
      </c>
      <c r="AK53" s="54">
        <f t="shared" si="19"/>
        <v>18380451</v>
      </c>
      <c r="AL53" s="54">
        <f t="shared" si="19"/>
        <v>21726837</v>
      </c>
      <c r="AM53" s="54">
        <f t="shared" si="19"/>
        <v>19607663</v>
      </c>
      <c r="AN53" s="54">
        <f t="shared" si="19"/>
        <v>26549398</v>
      </c>
      <c r="AO53" s="76">
        <f t="shared" si="12"/>
        <v>-1146449</v>
      </c>
      <c r="AP53" s="76">
        <f t="shared" si="13"/>
        <v>508671</v>
      </c>
    </row>
    <row r="54" spans="3:42" ht="13.5" thickTop="1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R54" s="33"/>
      <c r="S54" s="33"/>
      <c r="T54" s="33"/>
      <c r="U54" s="33"/>
      <c r="V54" s="33"/>
      <c r="W54" s="33"/>
      <c r="X54" s="33"/>
      <c r="Y54" s="13"/>
      <c r="Z54" s="33"/>
      <c r="AA54" s="33"/>
      <c r="AB54" s="33"/>
      <c r="AG54" s="33"/>
      <c r="AH54" s="33"/>
      <c r="AI54" s="33"/>
      <c r="AJ54" s="33"/>
      <c r="AK54" s="33"/>
      <c r="AL54" s="33"/>
      <c r="AM54" s="33"/>
      <c r="AN54" s="33"/>
      <c r="AO54" s="76">
        <f t="shared" si="12"/>
        <v>0</v>
      </c>
      <c r="AP54" s="76">
        <f t="shared" si="13"/>
        <v>0</v>
      </c>
    </row>
    <row r="55" spans="2:42" ht="13.5" thickBot="1">
      <c r="B55" t="s">
        <v>139</v>
      </c>
      <c r="C55" s="61">
        <f aca="true" t="shared" si="20" ref="C55:H55">+C53+C48</f>
        <v>74588238</v>
      </c>
      <c r="D55" s="61">
        <f>+D53+D48</f>
        <v>75314544</v>
      </c>
      <c r="E55" s="61">
        <f t="shared" si="20"/>
        <v>77019775</v>
      </c>
      <c r="F55" s="61">
        <f t="shared" si="20"/>
        <v>80132677</v>
      </c>
      <c r="G55" s="61">
        <f t="shared" si="20"/>
        <v>75314544</v>
      </c>
      <c r="H55" s="61">
        <f t="shared" si="20"/>
        <v>81331751</v>
      </c>
      <c r="I55" s="61">
        <f aca="true" t="shared" si="21" ref="I55:N55">+I53+I48</f>
        <v>81279384</v>
      </c>
      <c r="J55" s="61">
        <f t="shared" si="21"/>
        <v>48234158</v>
      </c>
      <c r="K55" s="61">
        <f t="shared" si="21"/>
        <v>80132677</v>
      </c>
      <c r="L55" s="61">
        <f t="shared" si="21"/>
        <v>46786707</v>
      </c>
      <c r="M55" s="61">
        <f t="shared" si="21"/>
        <v>81331751</v>
      </c>
      <c r="N55" s="61">
        <f t="shared" si="21"/>
        <v>40295215</v>
      </c>
      <c r="O55" s="61">
        <f>+O53+O48</f>
        <v>73609170</v>
      </c>
      <c r="P55" s="61">
        <f>+P53+P48</f>
        <v>60048342</v>
      </c>
      <c r="R55" s="33"/>
      <c r="S55" s="33"/>
      <c r="T55" s="33"/>
      <c r="U55" s="33"/>
      <c r="V55" s="33"/>
      <c r="W55" s="33"/>
      <c r="X55" s="33"/>
      <c r="Z55" s="33"/>
      <c r="AA55" s="33"/>
      <c r="AB55" s="33"/>
      <c r="AI55" s="61">
        <f aca="true" t="shared" si="22" ref="AI55:AN55">+AI53+AI48</f>
        <v>75314544</v>
      </c>
      <c r="AJ55" s="61">
        <f t="shared" si="22"/>
        <v>81331751</v>
      </c>
      <c r="AK55" s="61">
        <f t="shared" si="22"/>
        <v>71309473</v>
      </c>
      <c r="AL55" s="61">
        <f t="shared" si="22"/>
        <v>73609169.10999998</v>
      </c>
      <c r="AM55" s="61">
        <f t="shared" si="22"/>
        <v>73122923</v>
      </c>
      <c r="AN55" s="61">
        <f t="shared" si="22"/>
        <v>81279384</v>
      </c>
      <c r="AO55" s="76">
        <f t="shared" si="12"/>
        <v>3278765</v>
      </c>
      <c r="AP55" s="76">
        <f t="shared" si="13"/>
        <v>1705374.8900000155</v>
      </c>
    </row>
    <row r="56" spans="3:42" ht="12.75">
      <c r="C56" s="33"/>
      <c r="D56" s="33"/>
      <c r="E56" s="33"/>
      <c r="F56" s="33"/>
      <c r="G56" s="33"/>
      <c r="H56" s="33"/>
      <c r="I56" s="33"/>
      <c r="J56" s="33"/>
      <c r="K56" s="33"/>
      <c r="M56" s="33"/>
      <c r="O56" s="33"/>
      <c r="P56" s="33"/>
      <c r="R56" s="33"/>
      <c r="S56" s="33"/>
      <c r="T56" s="33"/>
      <c r="U56" s="33"/>
      <c r="V56" s="33"/>
      <c r="W56" s="33"/>
      <c r="X56" s="33"/>
      <c r="Z56" s="33"/>
      <c r="AA56" s="33"/>
      <c r="AB56" s="33"/>
      <c r="AI56" s="33"/>
      <c r="AJ56" s="33"/>
      <c r="AK56" s="33"/>
      <c r="AL56" s="33"/>
      <c r="AM56" s="33"/>
      <c r="AN56" s="33"/>
      <c r="AO56" s="76">
        <f t="shared" si="12"/>
        <v>0</v>
      </c>
      <c r="AP56" s="76">
        <f t="shared" si="13"/>
        <v>0</v>
      </c>
    </row>
    <row r="57" spans="3:42" ht="12.75">
      <c r="C57" s="33"/>
      <c r="D57" s="33"/>
      <c r="E57" s="33"/>
      <c r="F57" s="33"/>
      <c r="G57" s="33"/>
      <c r="H57" s="33"/>
      <c r="I57" s="33"/>
      <c r="J57" s="33"/>
      <c r="K57" s="33"/>
      <c r="M57" s="33"/>
      <c r="O57" s="33"/>
      <c r="P57" s="33"/>
      <c r="R57" s="33"/>
      <c r="S57" s="33"/>
      <c r="T57" s="33"/>
      <c r="U57" s="33"/>
      <c r="V57" s="33"/>
      <c r="W57" s="33"/>
      <c r="X57" s="33"/>
      <c r="Z57" s="33"/>
      <c r="AA57" s="33"/>
      <c r="AB57" s="33"/>
      <c r="AI57" s="33"/>
      <c r="AJ57" s="33"/>
      <c r="AK57" s="33"/>
      <c r="AL57" s="33"/>
      <c r="AM57" s="33"/>
      <c r="AN57" s="33"/>
      <c r="AO57" s="76">
        <f t="shared" si="12"/>
        <v>0</v>
      </c>
      <c r="AP57" s="76">
        <f t="shared" si="13"/>
        <v>0</v>
      </c>
    </row>
    <row r="58" spans="2:42" ht="12.75">
      <c r="B58" t="s">
        <v>3</v>
      </c>
      <c r="C58" s="33">
        <v>122177648</v>
      </c>
      <c r="D58" s="33">
        <v>113178662</v>
      </c>
      <c r="E58" s="33">
        <v>29278056</v>
      </c>
      <c r="F58" s="33">
        <v>27655440</v>
      </c>
      <c r="G58" s="33">
        <v>113178662</v>
      </c>
      <c r="H58" s="33">
        <v>92790165</v>
      </c>
      <c r="I58" s="33"/>
      <c r="J58" s="33"/>
      <c r="K58" s="33"/>
      <c r="M58" s="33"/>
      <c r="O58" s="33">
        <v>85513926</v>
      </c>
      <c r="P58" s="33">
        <v>67626182</v>
      </c>
      <c r="R58" s="33"/>
      <c r="S58" s="33"/>
      <c r="T58" s="33"/>
      <c r="U58" s="33"/>
      <c r="V58" s="33"/>
      <c r="W58" s="33"/>
      <c r="X58" s="33"/>
      <c r="Z58" s="33"/>
      <c r="AA58" s="33"/>
      <c r="AB58" s="33"/>
      <c r="AI58" s="33">
        <v>113178662</v>
      </c>
      <c r="AJ58" s="33">
        <v>92790165</v>
      </c>
      <c r="AK58" s="33">
        <v>89098532</v>
      </c>
      <c r="AL58" s="33">
        <v>85513926</v>
      </c>
      <c r="AM58" s="33">
        <v>58764879</v>
      </c>
      <c r="AN58" s="33">
        <v>57368261</v>
      </c>
      <c r="AO58" s="76">
        <f t="shared" si="12"/>
        <v>33079116</v>
      </c>
      <c r="AP58" s="76">
        <f t="shared" si="13"/>
        <v>27664736</v>
      </c>
    </row>
    <row r="59" spans="3:42" ht="12.75">
      <c r="C59" s="33"/>
      <c r="D59" s="33"/>
      <c r="E59" s="33"/>
      <c r="F59" s="33"/>
      <c r="G59" s="33"/>
      <c r="H59" s="33"/>
      <c r="I59" s="33"/>
      <c r="J59" s="33"/>
      <c r="K59" s="33"/>
      <c r="M59" s="33"/>
      <c r="O59" s="33"/>
      <c r="P59" s="33"/>
      <c r="R59" s="33"/>
      <c r="S59" s="33"/>
      <c r="T59" s="33"/>
      <c r="U59" s="33"/>
      <c r="V59" s="33"/>
      <c r="W59" s="33"/>
      <c r="X59" s="33"/>
      <c r="Z59" s="33"/>
      <c r="AA59" s="33"/>
      <c r="AB59" s="33"/>
      <c r="AI59" s="33"/>
      <c r="AJ59" s="33"/>
      <c r="AK59" s="33"/>
      <c r="AL59" s="33"/>
      <c r="AM59" s="33"/>
      <c r="AN59" s="33"/>
      <c r="AO59" s="76">
        <f t="shared" si="12"/>
        <v>0</v>
      </c>
      <c r="AP59" s="76">
        <f t="shared" si="13"/>
        <v>0</v>
      </c>
    </row>
    <row r="60" spans="2:42" ht="12.75">
      <c r="B60" t="s">
        <v>141</v>
      </c>
      <c r="C60" s="33">
        <v>179918</v>
      </c>
      <c r="D60" s="33">
        <v>259588</v>
      </c>
      <c r="E60" s="33">
        <v>57962</v>
      </c>
      <c r="F60" s="33">
        <v>75813</v>
      </c>
      <c r="G60" s="33">
        <v>259588</v>
      </c>
      <c r="H60" s="33"/>
      <c r="I60" s="33"/>
      <c r="J60" s="33"/>
      <c r="K60" s="33"/>
      <c r="M60" s="33"/>
      <c r="O60" s="33">
        <v>205523</v>
      </c>
      <c r="P60" s="33"/>
      <c r="R60" s="33"/>
      <c r="S60" s="33"/>
      <c r="T60" s="33"/>
      <c r="U60" s="33"/>
      <c r="V60" s="33"/>
      <c r="W60" s="33"/>
      <c r="X60" s="33"/>
      <c r="Z60" s="33"/>
      <c r="AA60" s="33"/>
      <c r="AB60" s="33"/>
      <c r="AI60" s="33">
        <v>259588</v>
      </c>
      <c r="AJ60" s="33"/>
      <c r="AK60" s="33">
        <v>131987</v>
      </c>
      <c r="AL60" s="33">
        <v>205523</v>
      </c>
      <c r="AM60" s="33">
        <v>115268</v>
      </c>
      <c r="AN60" s="33">
        <v>144591</v>
      </c>
      <c r="AO60" s="76">
        <f t="shared" si="12"/>
        <v>47931</v>
      </c>
      <c r="AP60" s="76">
        <f t="shared" si="13"/>
        <v>54065</v>
      </c>
    </row>
    <row r="61" spans="2:42" ht="12.75">
      <c r="B61" t="s">
        <v>142</v>
      </c>
      <c r="C61" s="33">
        <v>5619925</v>
      </c>
      <c r="D61" s="33">
        <v>5437585</v>
      </c>
      <c r="E61" s="33">
        <v>1426537</v>
      </c>
      <c r="F61" s="33">
        <v>1324577</v>
      </c>
      <c r="G61" s="33">
        <v>5437585</v>
      </c>
      <c r="H61" s="33"/>
      <c r="I61" s="33"/>
      <c r="J61" s="33"/>
      <c r="K61" s="33"/>
      <c r="M61" s="33"/>
      <c r="O61" s="33">
        <v>4062894</v>
      </c>
      <c r="P61" s="33"/>
      <c r="R61" s="33"/>
      <c r="S61" s="33"/>
      <c r="T61" s="33"/>
      <c r="U61" s="33"/>
      <c r="V61" s="33"/>
      <c r="W61" s="33"/>
      <c r="X61" s="33"/>
      <c r="Z61" s="33"/>
      <c r="AA61" s="33"/>
      <c r="AB61" s="33"/>
      <c r="AI61" s="33">
        <v>5437585</v>
      </c>
      <c r="AJ61" s="33"/>
      <c r="AK61" s="33">
        <v>4215824</v>
      </c>
      <c r="AL61" s="33">
        <v>4062894</v>
      </c>
      <c r="AM61" s="33">
        <v>2724856</v>
      </c>
      <c r="AN61" s="33">
        <v>2611054</v>
      </c>
      <c r="AO61" s="76">
        <f t="shared" si="12"/>
        <v>1404101</v>
      </c>
      <c r="AP61" s="76">
        <f t="shared" si="13"/>
        <v>1374691</v>
      </c>
    </row>
    <row r="62" spans="2:42" ht="13.5" thickBot="1">
      <c r="B62" t="s">
        <v>189</v>
      </c>
      <c r="C62" s="54">
        <f>+C61-C60</f>
        <v>5440007</v>
      </c>
      <c r="D62" s="54">
        <f>+D61-D60</f>
        <v>5177997</v>
      </c>
      <c r="E62" s="54">
        <f>+E61-E60</f>
        <v>1368575</v>
      </c>
      <c r="F62" s="54">
        <f>+F61-F60</f>
        <v>1248764</v>
      </c>
      <c r="G62" s="54">
        <f>+G61-G60</f>
        <v>5177997</v>
      </c>
      <c r="H62" s="33"/>
      <c r="I62" s="33"/>
      <c r="J62" s="33"/>
      <c r="K62" s="33"/>
      <c r="M62" s="33"/>
      <c r="O62" s="33"/>
      <c r="P62" s="33"/>
      <c r="R62" s="33"/>
      <c r="S62" s="33"/>
      <c r="T62" s="33"/>
      <c r="U62" s="33"/>
      <c r="V62" s="33"/>
      <c r="W62" s="33"/>
      <c r="X62" s="33"/>
      <c r="Z62" s="33"/>
      <c r="AA62" s="33"/>
      <c r="AB62" s="33"/>
      <c r="AI62" s="33"/>
      <c r="AJ62" s="33"/>
      <c r="AK62" s="54">
        <f>+AK61-AK60</f>
        <v>4083837</v>
      </c>
      <c r="AL62" s="54">
        <f>+AL61-AL60</f>
        <v>3857371</v>
      </c>
      <c r="AM62" s="54">
        <f>+AM61-AM60</f>
        <v>2609588</v>
      </c>
      <c r="AN62" s="54">
        <f>+AN61-AN60</f>
        <v>2466463</v>
      </c>
      <c r="AO62" s="76">
        <f t="shared" si="12"/>
        <v>1356170</v>
      </c>
      <c r="AP62" s="76">
        <f t="shared" si="13"/>
        <v>1320626</v>
      </c>
    </row>
    <row r="63" spans="3:42" ht="13.5" thickTop="1">
      <c r="C63" s="33"/>
      <c r="D63" s="33"/>
      <c r="E63" s="33"/>
      <c r="F63" s="33"/>
      <c r="G63" s="33"/>
      <c r="H63" s="33"/>
      <c r="I63" s="33"/>
      <c r="J63" s="33"/>
      <c r="K63" s="33"/>
      <c r="M63" s="33"/>
      <c r="O63" s="33"/>
      <c r="P63" s="33"/>
      <c r="R63" s="33"/>
      <c r="S63" s="33"/>
      <c r="T63" s="33"/>
      <c r="U63" s="33"/>
      <c r="V63" s="33"/>
      <c r="W63" s="33"/>
      <c r="X63" s="33"/>
      <c r="Z63" s="33"/>
      <c r="AA63" s="33"/>
      <c r="AB63" s="33"/>
      <c r="AI63" s="33"/>
      <c r="AJ63" s="33"/>
      <c r="AK63" s="33"/>
      <c r="AL63" s="33"/>
      <c r="AM63" s="33"/>
      <c r="AN63" s="33"/>
      <c r="AO63" s="76">
        <f t="shared" si="12"/>
        <v>0</v>
      </c>
      <c r="AP63" s="76">
        <f t="shared" si="13"/>
        <v>0</v>
      </c>
    </row>
    <row r="64" spans="3:42" ht="12.75">
      <c r="C64" s="33"/>
      <c r="D64" s="33"/>
      <c r="E64" s="33"/>
      <c r="F64" s="33"/>
      <c r="G64" s="33"/>
      <c r="H64" s="33"/>
      <c r="I64" s="33"/>
      <c r="J64" s="33"/>
      <c r="K64" s="33"/>
      <c r="M64" s="33"/>
      <c r="O64" s="33"/>
      <c r="P64" s="33"/>
      <c r="R64" s="33"/>
      <c r="S64" s="33"/>
      <c r="T64" s="33"/>
      <c r="U64" s="33"/>
      <c r="V64" s="33"/>
      <c r="W64" s="33"/>
      <c r="X64" s="33"/>
      <c r="Z64" s="33"/>
      <c r="AA64" s="33"/>
      <c r="AB64" s="33"/>
      <c r="AI64" s="33"/>
      <c r="AJ64" s="33"/>
      <c r="AK64" s="33"/>
      <c r="AL64" s="33"/>
      <c r="AM64" s="33"/>
      <c r="AN64" s="33"/>
      <c r="AO64" s="76">
        <f t="shared" si="12"/>
        <v>0</v>
      </c>
      <c r="AP64" s="76">
        <f t="shared" si="13"/>
        <v>0</v>
      </c>
    </row>
    <row r="65" spans="2:42" ht="12.75">
      <c r="B65" t="s">
        <v>143</v>
      </c>
      <c r="C65" s="33">
        <v>-2448588</v>
      </c>
      <c r="D65" s="33">
        <v>-24650</v>
      </c>
      <c r="E65" s="33">
        <v>-96667</v>
      </c>
      <c r="F65" s="33">
        <v>-74623</v>
      </c>
      <c r="G65" s="33">
        <v>-24650</v>
      </c>
      <c r="H65" s="33"/>
      <c r="I65" s="33"/>
      <c r="J65" s="33"/>
      <c r="K65" s="33"/>
      <c r="M65" s="33"/>
      <c r="O65" s="33">
        <v>375664</v>
      </c>
      <c r="P65" s="33"/>
      <c r="R65" s="33"/>
      <c r="S65" s="33"/>
      <c r="T65" s="33"/>
      <c r="U65" s="33"/>
      <c r="V65" s="33"/>
      <c r="W65" s="33"/>
      <c r="X65" s="33"/>
      <c r="Z65" s="33"/>
      <c r="AA65" s="33"/>
      <c r="AB65" s="33"/>
      <c r="AI65" s="33">
        <v>-24650</v>
      </c>
      <c r="AJ65" s="33"/>
      <c r="AK65" s="33">
        <v>-885309</v>
      </c>
      <c r="AL65" s="33">
        <v>-375664</v>
      </c>
      <c r="AM65" s="33">
        <v>-406246</v>
      </c>
      <c r="AN65" s="33">
        <v>193016</v>
      </c>
      <c r="AO65" s="76">
        <f t="shared" si="12"/>
        <v>-1563279</v>
      </c>
      <c r="AP65" s="76">
        <f t="shared" si="13"/>
        <v>351014</v>
      </c>
    </row>
    <row r="66" spans="3:42" ht="12.75">
      <c r="C66" s="33"/>
      <c r="D66" s="33"/>
      <c r="E66" s="33"/>
      <c r="F66" s="33"/>
      <c r="G66" s="33"/>
      <c r="H66" s="33"/>
      <c r="I66" s="33"/>
      <c r="J66" s="33"/>
      <c r="K66" s="33"/>
      <c r="M66" s="33"/>
      <c r="O66" s="33"/>
      <c r="P66" s="33"/>
      <c r="R66" s="33"/>
      <c r="S66" s="33"/>
      <c r="T66" s="33"/>
      <c r="U66" s="33"/>
      <c r="V66" s="33"/>
      <c r="W66" s="33"/>
      <c r="X66" s="33"/>
      <c r="Z66" s="33"/>
      <c r="AA66" s="33"/>
      <c r="AB66" s="33"/>
      <c r="AI66" s="33"/>
      <c r="AJ66" s="33"/>
      <c r="AK66" s="33"/>
      <c r="AL66" s="33"/>
      <c r="AM66" s="33"/>
      <c r="AN66" s="33"/>
      <c r="AO66" s="76">
        <f t="shared" si="12"/>
        <v>0</v>
      </c>
      <c r="AP66" s="76">
        <f t="shared" si="13"/>
        <v>0</v>
      </c>
    </row>
    <row r="67" spans="2:42" ht="12.75">
      <c r="B67" t="s">
        <v>144</v>
      </c>
      <c r="C67" s="33">
        <v>-22930</v>
      </c>
      <c r="D67" s="33">
        <v>-31112</v>
      </c>
      <c r="E67" s="33">
        <v>0</v>
      </c>
      <c r="F67" s="33">
        <v>0</v>
      </c>
      <c r="G67" s="33">
        <v>-31112</v>
      </c>
      <c r="H67" s="33"/>
      <c r="I67" s="33"/>
      <c r="J67" s="33"/>
      <c r="K67" s="33"/>
      <c r="M67" s="33"/>
      <c r="O67" s="33">
        <v>29889</v>
      </c>
      <c r="P67" s="33"/>
      <c r="R67" s="33"/>
      <c r="S67" s="33"/>
      <c r="T67" s="33"/>
      <c r="U67" s="33"/>
      <c r="V67" s="33"/>
      <c r="W67" s="33"/>
      <c r="X67" s="33"/>
      <c r="Z67" s="33"/>
      <c r="AA67" s="33"/>
      <c r="AB67" s="33"/>
      <c r="AI67" s="33">
        <v>31112</v>
      </c>
      <c r="AJ67" s="33"/>
      <c r="AK67" s="33">
        <v>-953</v>
      </c>
      <c r="AL67" s="33">
        <v>-29889</v>
      </c>
      <c r="AM67" s="33">
        <v>-800</v>
      </c>
      <c r="AN67" s="33">
        <v>-29725</v>
      </c>
      <c r="AO67" s="76">
        <f t="shared" si="12"/>
        <v>-21977</v>
      </c>
      <c r="AP67" s="76">
        <f t="shared" si="13"/>
        <v>-1223</v>
      </c>
    </row>
    <row r="68" spans="3:40" ht="12.75">
      <c r="C68" s="33"/>
      <c r="D68" s="33"/>
      <c r="E68" s="33"/>
      <c r="F68" s="33"/>
      <c r="G68" s="33"/>
      <c r="H68" s="33"/>
      <c r="I68" s="33"/>
      <c r="J68" s="33"/>
      <c r="K68" s="33"/>
      <c r="M68" s="33"/>
      <c r="O68" s="33"/>
      <c r="P68" s="33"/>
      <c r="R68" s="33"/>
      <c r="S68" s="33"/>
      <c r="T68" s="33"/>
      <c r="U68" s="33"/>
      <c r="V68" s="33"/>
      <c r="W68" s="33"/>
      <c r="X68" s="33"/>
      <c r="Z68" s="33"/>
      <c r="AA68" s="33"/>
      <c r="AB68" s="33"/>
      <c r="AK68" s="33"/>
      <c r="AL68" s="33"/>
      <c r="AM68" s="33"/>
      <c r="AN68" s="33"/>
    </row>
    <row r="69" spans="3:40" ht="12.75">
      <c r="C69" s="33"/>
      <c r="D69" s="33"/>
      <c r="E69" s="33"/>
      <c r="F69" s="33"/>
      <c r="G69" s="33"/>
      <c r="H69" s="33"/>
      <c r="I69" s="33"/>
      <c r="J69" s="33"/>
      <c r="K69" s="33"/>
      <c r="M69" s="33"/>
      <c r="O69" s="33"/>
      <c r="P69" s="33"/>
      <c r="R69" s="33"/>
      <c r="S69" s="33"/>
      <c r="T69" s="33"/>
      <c r="U69" s="33"/>
      <c r="V69" s="33"/>
      <c r="W69" s="33"/>
      <c r="X69" s="33"/>
      <c r="Z69" s="33"/>
      <c r="AA69" s="33"/>
      <c r="AB69" s="33"/>
      <c r="AK69" s="33"/>
      <c r="AL69" s="33"/>
      <c r="AM69" s="33"/>
      <c r="AN69" s="33"/>
    </row>
    <row r="70" spans="3:40" ht="12.75">
      <c r="C70" s="33"/>
      <c r="D70" s="33"/>
      <c r="E70" s="33"/>
      <c r="F70" s="33"/>
      <c r="G70" s="33"/>
      <c r="H70" s="33"/>
      <c r="I70" s="33"/>
      <c r="J70" s="33"/>
      <c r="K70" s="33"/>
      <c r="M70" s="33"/>
      <c r="O70" s="33"/>
      <c r="P70" s="33"/>
      <c r="R70" s="33"/>
      <c r="S70" s="33"/>
      <c r="T70" s="33"/>
      <c r="U70" s="33"/>
      <c r="V70" s="33"/>
      <c r="W70" s="33"/>
      <c r="X70" s="33"/>
      <c r="Z70" s="33"/>
      <c r="AA70" s="33"/>
      <c r="AB70" s="33"/>
      <c r="AK70" s="33"/>
      <c r="AL70" s="33"/>
      <c r="AM70" s="33"/>
      <c r="AN70" s="33"/>
    </row>
    <row r="71" spans="3:40" ht="12.75">
      <c r="C71" s="33"/>
      <c r="D71" s="33"/>
      <c r="E71" s="33"/>
      <c r="F71" s="33"/>
      <c r="G71" s="33"/>
      <c r="H71" s="33"/>
      <c r="I71" s="33"/>
      <c r="J71" s="33"/>
      <c r="K71" s="33"/>
      <c r="M71" s="33"/>
      <c r="R71" s="33"/>
      <c r="S71" s="33"/>
      <c r="T71" s="33"/>
      <c r="U71" s="33"/>
      <c r="V71" s="33"/>
      <c r="W71" s="33"/>
      <c r="X71" s="33"/>
      <c r="Z71" s="33"/>
      <c r="AA71" s="33"/>
      <c r="AB71" s="33"/>
      <c r="AK71" s="33"/>
      <c r="AL71" s="33"/>
      <c r="AM71" s="33"/>
      <c r="AN71" s="33"/>
    </row>
    <row r="72" spans="3:40" ht="12.75">
      <c r="C72" s="33"/>
      <c r="D72" s="33"/>
      <c r="E72" s="33"/>
      <c r="F72" s="33"/>
      <c r="G72" s="33"/>
      <c r="H72" s="33"/>
      <c r="I72" s="33"/>
      <c r="J72" s="33"/>
      <c r="K72" s="33"/>
      <c r="M72" s="33"/>
      <c r="R72" s="33"/>
      <c r="S72" s="33"/>
      <c r="T72" s="33"/>
      <c r="U72" s="33"/>
      <c r="V72" s="33"/>
      <c r="W72" s="33"/>
      <c r="X72" s="33"/>
      <c r="Z72" s="33"/>
      <c r="AA72" s="33"/>
      <c r="AB72" s="33"/>
      <c r="AK72" s="33"/>
      <c r="AL72" s="33"/>
      <c r="AM72" s="33"/>
      <c r="AN72" s="33"/>
    </row>
    <row r="73" spans="3:39" ht="12.75">
      <c r="C73" s="33"/>
      <c r="K73" s="33"/>
      <c r="M73" s="33"/>
      <c r="R73" s="33"/>
      <c r="S73" s="33"/>
      <c r="T73" s="33"/>
      <c r="U73" s="33"/>
      <c r="V73" s="33"/>
      <c r="W73" s="33"/>
      <c r="X73" s="33"/>
      <c r="Z73" s="33"/>
      <c r="AA73" s="33"/>
      <c r="AB73" s="33"/>
      <c r="AK73" s="33"/>
      <c r="AM73" s="33"/>
    </row>
    <row r="74" spans="3:39" ht="12.75">
      <c r="C74" s="33"/>
      <c r="K74" s="33"/>
      <c r="M74" s="33"/>
      <c r="R74" s="33"/>
      <c r="S74" s="33"/>
      <c r="T74" s="33"/>
      <c r="U74" s="33"/>
      <c r="V74" s="33"/>
      <c r="W74" s="33"/>
      <c r="X74" s="33"/>
      <c r="Z74" s="33"/>
      <c r="AA74" s="33"/>
      <c r="AB74" s="33"/>
      <c r="AK74" s="33"/>
      <c r="AM74" s="33"/>
    </row>
    <row r="75" spans="3:39" ht="12.75">
      <c r="C75" s="33"/>
      <c r="K75" s="33"/>
      <c r="M75" s="33"/>
      <c r="R75" s="33"/>
      <c r="S75" s="33"/>
      <c r="T75" s="33"/>
      <c r="U75" s="33"/>
      <c r="V75" s="33"/>
      <c r="W75" s="33"/>
      <c r="X75" s="33"/>
      <c r="Z75" s="33"/>
      <c r="AA75" s="33"/>
      <c r="AB75" s="33"/>
      <c r="AK75" s="33"/>
      <c r="AM75" s="33"/>
    </row>
    <row r="76" spans="3:37" ht="12.75">
      <c r="C76" s="33"/>
      <c r="K76" s="33"/>
      <c r="M76" s="33"/>
      <c r="S76" s="33"/>
      <c r="T76" s="33"/>
      <c r="U76" s="33"/>
      <c r="V76" s="33"/>
      <c r="Z76" s="33"/>
      <c r="AK76" s="33"/>
    </row>
    <row r="77" spans="3:37" ht="12.75">
      <c r="C77" s="33"/>
      <c r="K77" s="33"/>
      <c r="M77" s="33"/>
      <c r="Z77" s="33"/>
      <c r="AK77" s="33"/>
    </row>
    <row r="78" spans="3:37" ht="12.75">
      <c r="C78" s="33"/>
      <c r="K78" s="33"/>
      <c r="M78" s="33"/>
      <c r="Z78" s="33"/>
      <c r="AK78" s="33"/>
    </row>
    <row r="79" spans="3:37" ht="12.75">
      <c r="C79" s="33"/>
      <c r="Z79" s="33"/>
      <c r="AK79" s="33"/>
    </row>
    <row r="80" spans="3:37" ht="12.75">
      <c r="C80" s="33"/>
      <c r="Z80" s="33"/>
      <c r="AK80" s="33"/>
    </row>
    <row r="81" spans="3:37" ht="12.75">
      <c r="C81" s="33"/>
      <c r="Z81" s="33"/>
      <c r="AK81" s="33"/>
    </row>
    <row r="82" spans="3:37" ht="12.75">
      <c r="C82" s="33"/>
      <c r="Z82" s="33"/>
      <c r="AK82" s="33"/>
    </row>
    <row r="83" spans="3:26" ht="12.75">
      <c r="C83" s="33"/>
      <c r="Z83" s="33"/>
    </row>
    <row r="84" spans="3:26" ht="12.75">
      <c r="C84" s="33"/>
      <c r="Z84" s="33"/>
    </row>
    <row r="85" spans="3:26" ht="12.75">
      <c r="C85" s="33"/>
      <c r="Z85" s="33"/>
    </row>
    <row r="86" spans="3:26" ht="12.75">
      <c r="C86" s="33"/>
      <c r="Z86" s="33"/>
    </row>
    <row r="87" spans="3:26" ht="12.75">
      <c r="C87" s="33"/>
      <c r="Z87" s="33"/>
    </row>
    <row r="88" spans="3:26" ht="12.75">
      <c r="C88" s="33"/>
      <c r="Z88" s="33"/>
    </row>
    <row r="89" spans="3:26" ht="12.75">
      <c r="C89" s="33"/>
      <c r="Z89" s="33"/>
    </row>
    <row r="90" spans="3:26" ht="12.75">
      <c r="C90" s="33"/>
      <c r="Z90" s="33"/>
    </row>
    <row r="91" spans="3:26" ht="12.75">
      <c r="C91" s="33"/>
      <c r="Z91" s="33"/>
    </row>
    <row r="92" spans="3:26" ht="12.75">
      <c r="C92" s="33"/>
      <c r="Z92" s="33"/>
    </row>
    <row r="93" spans="3:26" ht="12.75">
      <c r="C93" s="33"/>
      <c r="Z93" s="33"/>
    </row>
    <row r="94" spans="3:26" ht="12.75">
      <c r="C94" s="33"/>
      <c r="Z94" s="33"/>
    </row>
    <row r="95" spans="3:26" ht="12.75">
      <c r="C95" s="33"/>
      <c r="Z95" s="33"/>
    </row>
    <row r="96" spans="3:26" ht="12.75">
      <c r="C96" s="33"/>
      <c r="Z96" s="33"/>
    </row>
    <row r="97" spans="3:26" ht="12.75">
      <c r="C97" s="33"/>
      <c r="Z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</sheetData>
  <printOptions gridLines="1"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D37" sqref="D37"/>
    </sheetView>
  </sheetViews>
  <sheetFormatPr defaultColWidth="9.140625" defaultRowHeight="12.75"/>
  <cols>
    <col min="1" max="1" width="26.8515625" style="0" customWidth="1"/>
    <col min="2" max="2" width="13.28125" style="0" customWidth="1"/>
    <col min="3" max="3" width="18.140625" style="0" customWidth="1"/>
    <col min="4" max="4" width="12.140625" style="0" customWidth="1"/>
    <col min="5" max="5" width="18.00390625" style="0" customWidth="1"/>
    <col min="6" max="6" width="0" style="0" hidden="1" customWidth="1"/>
  </cols>
  <sheetData>
    <row r="1" ht="20.25">
      <c r="A1" s="8" t="s">
        <v>39</v>
      </c>
    </row>
    <row r="2" ht="12.75">
      <c r="A2" s="3"/>
    </row>
    <row r="3" ht="12.75">
      <c r="A3" s="3" t="s">
        <v>0</v>
      </c>
    </row>
    <row r="4" ht="12.75">
      <c r="F4" s="48" t="s">
        <v>106</v>
      </c>
    </row>
    <row r="5" spans="2:6" ht="12.75">
      <c r="B5" s="82" t="s">
        <v>1</v>
      </c>
      <c r="C5" s="82"/>
      <c r="D5" s="82" t="s">
        <v>66</v>
      </c>
      <c r="E5" s="82"/>
      <c r="F5" s="1"/>
    </row>
    <row r="6" spans="2:6" ht="12.75">
      <c r="B6" s="84" t="s">
        <v>57</v>
      </c>
      <c r="C6" s="86" t="s">
        <v>125</v>
      </c>
      <c r="D6" s="85" t="s">
        <v>67</v>
      </c>
      <c r="E6" s="86" t="s">
        <v>126</v>
      </c>
      <c r="F6" s="1"/>
    </row>
    <row r="7" spans="2:6" ht="12.75">
      <c r="B7" s="84"/>
      <c r="C7" s="86"/>
      <c r="D7" s="85"/>
      <c r="E7" s="86"/>
      <c r="F7" s="1"/>
    </row>
    <row r="8" spans="2:6" ht="12.75">
      <c r="B8" s="84"/>
      <c r="C8" s="86"/>
      <c r="D8" s="85"/>
      <c r="E8" s="86"/>
      <c r="F8" s="1"/>
    </row>
    <row r="9" spans="2:6" ht="12.75">
      <c r="B9" s="55"/>
      <c r="C9" s="86"/>
      <c r="D9" s="56"/>
      <c r="E9" s="86"/>
      <c r="F9" s="1"/>
    </row>
    <row r="10" spans="2:6" ht="12.75">
      <c r="B10" s="15" t="s">
        <v>205</v>
      </c>
      <c r="C10" s="6" t="s">
        <v>140</v>
      </c>
      <c r="D10" s="6" t="str">
        <f>+B10</f>
        <v>31.12.2006</v>
      </c>
      <c r="E10" s="6" t="str">
        <f>+C10</f>
        <v>31.12.2005</v>
      </c>
      <c r="F10" s="1"/>
    </row>
    <row r="11" spans="2:6" ht="12.75">
      <c r="B11" s="6" t="s">
        <v>2</v>
      </c>
      <c r="C11" s="6" t="s">
        <v>2</v>
      </c>
      <c r="D11" s="6" t="s">
        <v>2</v>
      </c>
      <c r="E11" s="6" t="s">
        <v>2</v>
      </c>
      <c r="F11" s="1"/>
    </row>
    <row r="12" spans="3:5" ht="12.75">
      <c r="C12" s="6"/>
      <c r="E12" s="6"/>
    </row>
    <row r="13" spans="1:6" ht="12.75">
      <c r="A13" s="3" t="s">
        <v>3</v>
      </c>
      <c r="B13" s="11">
        <f>+working!C58/1000-working!AK58/1000</f>
        <v>33079.115999999995</v>
      </c>
      <c r="C13" s="11">
        <f>+working!D58/1000-working!AL58/1000</f>
        <v>27664.73599999999</v>
      </c>
      <c r="D13" s="11">
        <f>+working!C58/1000</f>
        <v>122177.648</v>
      </c>
      <c r="E13" s="11">
        <f>+working!D58/1000</f>
        <v>113178.662</v>
      </c>
      <c r="F13" s="1"/>
    </row>
    <row r="14" spans="2:6" ht="12.75">
      <c r="B14" s="11"/>
      <c r="C14" s="11"/>
      <c r="D14" s="11"/>
      <c r="E14" s="11"/>
      <c r="F14" s="1"/>
    </row>
    <row r="15" spans="1:6" ht="12.75">
      <c r="A15" t="s">
        <v>145</v>
      </c>
      <c r="B15" s="11">
        <f>-working!C5/1000+working!AK5/1000</f>
        <v>-24355.24900000001</v>
      </c>
      <c r="C15" s="11">
        <f>-working!D5/1000+working!AL5/1000</f>
        <v>-20802.69799999999</v>
      </c>
      <c r="D15" s="11">
        <f>-working!C5/1000</f>
        <v>-90323.808</v>
      </c>
      <c r="E15" s="11">
        <f>-working!D5/1000</f>
        <v>-89486.968</v>
      </c>
      <c r="F15" s="1">
        <v>1</v>
      </c>
    </row>
    <row r="16" spans="1:6" ht="12.75">
      <c r="A16" s="1"/>
      <c r="B16" s="62"/>
      <c r="C16" s="62"/>
      <c r="D16" s="30"/>
      <c r="E16" s="62"/>
      <c r="F16" s="1">
        <v>2</v>
      </c>
    </row>
    <row r="17" spans="1:6" ht="12.75">
      <c r="A17" s="63" t="s">
        <v>146</v>
      </c>
      <c r="B17" s="11">
        <f>+B13+B15</f>
        <v>8723.866999999984</v>
      </c>
      <c r="C17" s="11">
        <f>+C13+C15</f>
        <v>6862.0380000000005</v>
      </c>
      <c r="D17" s="11">
        <f>+D13+D15</f>
        <v>31853.839999999997</v>
      </c>
      <c r="E17" s="16">
        <f>+E13+E15</f>
        <v>23691.694000000003</v>
      </c>
      <c r="F17" s="1"/>
    </row>
    <row r="18" spans="2:6" ht="12.75">
      <c r="B18" s="26"/>
      <c r="C18" s="26"/>
      <c r="D18" s="26"/>
      <c r="E18" s="26"/>
      <c r="F18" s="1"/>
    </row>
    <row r="19" spans="1:6" ht="12.75">
      <c r="A19" t="s">
        <v>147</v>
      </c>
      <c r="B19" s="26">
        <f>+working!C17/1000-working!AK17/1000</f>
        <v>677.8369999999995</v>
      </c>
      <c r="C19" s="26">
        <f>+working!D17/1000-working!AL17/1000</f>
        <v>340.943</v>
      </c>
      <c r="D19" s="26">
        <f>+working!C17/1000</f>
        <v>7349.798</v>
      </c>
      <c r="E19" s="26">
        <f>+working!D17/1000</f>
        <v>1417.163</v>
      </c>
      <c r="F19" s="2"/>
    </row>
    <row r="20" spans="2:6" ht="12.75">
      <c r="B20" s="11"/>
      <c r="C20" s="11"/>
      <c r="D20" s="11"/>
      <c r="E20" s="11"/>
      <c r="F20" s="1"/>
    </row>
    <row r="21" spans="1:6" ht="12.75">
      <c r="A21" t="s">
        <v>148</v>
      </c>
      <c r="B21" s="11">
        <f>-working!C11/1000+working!AK11/1000+working!C18/1000-working!AK18/1000</f>
        <v>-7545.482999999998</v>
      </c>
      <c r="C21" s="11">
        <f>-working!D11/1000+working!AL11/1000+working!D18/1000-working!AL18/1000</f>
        <v>-6666.142000000001</v>
      </c>
      <c r="D21" s="11">
        <f>-working!C11/1000+working!C18/1000</f>
        <v>-23566.176</v>
      </c>
      <c r="E21" s="11">
        <f>-working!D11/1000+working!D18/1000</f>
        <v>-26118.928</v>
      </c>
      <c r="F21" s="1"/>
    </row>
    <row r="22" spans="2:6" ht="12.75">
      <c r="B22" s="30"/>
      <c r="C22" s="30"/>
      <c r="D22" s="30"/>
      <c r="E22" s="30"/>
      <c r="F22" s="1"/>
    </row>
    <row r="23" spans="1:6" ht="12.75">
      <c r="A23" s="3" t="s">
        <v>187</v>
      </c>
      <c r="B23" s="11">
        <f>SUM(B17:B22)</f>
        <v>1856.220999999985</v>
      </c>
      <c r="C23" s="11">
        <f>SUM(C17:C22)</f>
        <v>536.8389999999999</v>
      </c>
      <c r="D23" s="11">
        <f>SUM(D17:D22)</f>
        <v>15637.462</v>
      </c>
      <c r="E23" s="11">
        <f>SUM(E17:E22)</f>
        <v>-1010.0709999999963</v>
      </c>
      <c r="F23" s="1"/>
    </row>
    <row r="24" spans="2:6" ht="12.75">
      <c r="B24" s="11"/>
      <c r="C24" s="11"/>
      <c r="D24" s="11"/>
      <c r="E24" s="11"/>
      <c r="F24" s="1"/>
    </row>
    <row r="25" spans="1:6" ht="12.75">
      <c r="A25" t="s">
        <v>149</v>
      </c>
      <c r="B25" s="26">
        <f>-working!C62/1000+working!AK62/1000</f>
        <v>-1356.1699999999996</v>
      </c>
      <c r="C25" s="26">
        <f>-working!D62/1000+working!AL62/1000</f>
        <v>-1320.6260000000002</v>
      </c>
      <c r="D25" s="26">
        <f>-working!C62/1000</f>
        <v>-5440.007</v>
      </c>
      <c r="E25" s="26">
        <f>-working!D62/1000</f>
        <v>-5177.997</v>
      </c>
      <c r="F25" s="1"/>
    </row>
    <row r="26" spans="2:6" ht="12.75">
      <c r="B26" s="30"/>
      <c r="C26" s="30"/>
      <c r="D26" s="30"/>
      <c r="E26" s="30"/>
      <c r="F26" s="2"/>
    </row>
    <row r="27" spans="1:6" ht="12.75">
      <c r="A27" s="3" t="s">
        <v>150</v>
      </c>
      <c r="B27" s="11">
        <f>SUM(B23:B26)</f>
        <v>500.0509999999854</v>
      </c>
      <c r="C27" s="11">
        <f>SUM(C23:C26)</f>
        <v>-783.7870000000003</v>
      </c>
      <c r="D27" s="11">
        <f>SUM(D23:D26)</f>
        <v>10197.455</v>
      </c>
      <c r="E27" s="11">
        <f>SUM(E23:E26)</f>
        <v>-6188.067999999997</v>
      </c>
      <c r="F27" s="1"/>
    </row>
    <row r="28" spans="2:6" ht="12.75">
      <c r="B28" s="11"/>
      <c r="C28" s="11"/>
      <c r="D28" s="11"/>
      <c r="E28" s="11"/>
      <c r="F28" s="1"/>
    </row>
    <row r="29" spans="1:6" ht="12.75">
      <c r="A29" t="s">
        <v>151</v>
      </c>
      <c r="B29" s="26">
        <f>+working!C65/1000-working!AK65/1000</f>
        <v>-1563.2790000000002</v>
      </c>
      <c r="C29" s="26">
        <f>+working!D65/1000+working!AL65/1000</f>
        <v>-400.31399999999996</v>
      </c>
      <c r="D29" s="26">
        <f>+working!C65/1000</f>
        <v>-2448.588</v>
      </c>
      <c r="E29" s="26">
        <f>+working!D65/1000</f>
        <v>-24.65</v>
      </c>
      <c r="F29" s="1"/>
    </row>
    <row r="30" spans="2:6" ht="12.75">
      <c r="B30" s="30"/>
      <c r="C30" s="30"/>
      <c r="D30" s="30"/>
      <c r="E30" s="30"/>
      <c r="F30" s="2"/>
    </row>
    <row r="31" spans="1:6" ht="13.5" thickBot="1">
      <c r="A31" s="3" t="s">
        <v>152</v>
      </c>
      <c r="B31" s="27">
        <f>SUM(B27:B30)</f>
        <v>-1063.2280000000148</v>
      </c>
      <c r="C31" s="27">
        <f>SUM(C27:C30)</f>
        <v>-1184.101</v>
      </c>
      <c r="D31" s="27">
        <f>SUM(D27:D30)</f>
        <v>7748.867</v>
      </c>
      <c r="E31" s="27">
        <f>SUM(E27:E30)</f>
        <v>-6212.717999999996</v>
      </c>
      <c r="F31" s="1"/>
    </row>
    <row r="32" spans="2:6" ht="13.5" thickTop="1">
      <c r="B32" s="11"/>
      <c r="C32" s="11"/>
      <c r="D32" s="11"/>
      <c r="E32" s="11"/>
      <c r="F32" s="1"/>
    </row>
    <row r="33" spans="1:6" ht="12.75">
      <c r="A33" s="3" t="s">
        <v>153</v>
      </c>
      <c r="B33" s="11"/>
      <c r="C33" s="11"/>
      <c r="D33" s="11"/>
      <c r="E33" s="11"/>
      <c r="F33" s="1"/>
    </row>
    <row r="34" spans="2:6" ht="12.75">
      <c r="B34" s="11"/>
      <c r="C34" s="11"/>
      <c r="D34" s="11"/>
      <c r="E34" s="11"/>
      <c r="F34" s="1"/>
    </row>
    <row r="35" spans="1:6" ht="12.75">
      <c r="A35" t="s">
        <v>154</v>
      </c>
      <c r="B35" s="34">
        <f>+B31-B37</f>
        <v>-1041.2510000000148</v>
      </c>
      <c r="C35" s="11">
        <f>+C31-C37</f>
        <v>-1182.8780000000002</v>
      </c>
      <c r="D35" s="11">
        <f>+D31-D37</f>
        <v>7771.7970000000005</v>
      </c>
      <c r="E35" s="11">
        <f>+E31-E37</f>
        <v>-6181.605999999996</v>
      </c>
      <c r="F35" s="1"/>
    </row>
    <row r="36" spans="1:6" ht="12.75">
      <c r="A36" s="22"/>
      <c r="B36" s="26"/>
      <c r="C36" s="26"/>
      <c r="D36" s="26"/>
      <c r="E36" s="26"/>
      <c r="F36" s="2"/>
    </row>
    <row r="37" spans="1:6" ht="12.75">
      <c r="A37" t="s">
        <v>155</v>
      </c>
      <c r="B37" s="11">
        <f>+working!AO67/1000</f>
        <v>-21.977</v>
      </c>
      <c r="C37" s="11">
        <f>+working!AP67/1000</f>
        <v>-1.223</v>
      </c>
      <c r="D37" s="11">
        <f>+working!C67/1000</f>
        <v>-22.93</v>
      </c>
      <c r="E37" s="11">
        <f>+working!D67/1000</f>
        <v>-31.112</v>
      </c>
      <c r="F37" s="1"/>
    </row>
    <row r="38" spans="2:6" ht="12.75">
      <c r="B38" s="11"/>
      <c r="C38" s="11"/>
      <c r="D38" s="11"/>
      <c r="E38" s="11"/>
      <c r="F38" s="1"/>
    </row>
    <row r="39" spans="1:6" ht="13.5" thickBot="1">
      <c r="A39" s="3" t="s">
        <v>152</v>
      </c>
      <c r="B39" s="35">
        <f>SUM(B35:B38)</f>
        <v>-1063.2280000000148</v>
      </c>
      <c r="C39" s="27">
        <f>SUM(C35:C38)</f>
        <v>-1184.101</v>
      </c>
      <c r="D39" s="27">
        <f>SUM(D35:D38)</f>
        <v>7748.867</v>
      </c>
      <c r="E39" s="27">
        <f>SUM(E35:E37)</f>
        <v>-6212.717999999996</v>
      </c>
      <c r="F39" s="1"/>
    </row>
    <row r="40" spans="2:6" ht="13.5" thickTop="1">
      <c r="B40" s="11"/>
      <c r="C40" s="11"/>
      <c r="D40" s="11"/>
      <c r="E40" s="11"/>
      <c r="F40" s="1"/>
    </row>
    <row r="41" spans="1:6" ht="12.75">
      <c r="A41" t="s">
        <v>156</v>
      </c>
      <c r="B41" s="1"/>
      <c r="C41" s="1"/>
      <c r="D41" s="1"/>
      <c r="E41" s="1"/>
      <c r="F41" s="1"/>
    </row>
    <row r="42" spans="1:6" ht="12.75">
      <c r="A42" t="s">
        <v>5</v>
      </c>
      <c r="B42" s="12">
        <f>+B35/43560*100</f>
        <v>-2.3903833792470497</v>
      </c>
      <c r="C42" s="12">
        <f>+C35/43560*100</f>
        <v>-2.7155142332415063</v>
      </c>
      <c r="D42" s="12">
        <f>+D35/43560*100</f>
        <v>17.84159090909091</v>
      </c>
      <c r="E42" s="12">
        <f>+E35/43560*100</f>
        <v>-14.191014692378321</v>
      </c>
      <c r="F42" s="1"/>
    </row>
    <row r="43" spans="2:6" ht="12.75">
      <c r="B43" s="12"/>
      <c r="C43" s="12"/>
      <c r="D43" s="12"/>
      <c r="E43" s="12"/>
      <c r="F43" s="1"/>
    </row>
    <row r="44" spans="1:6" ht="12.75">
      <c r="A44" t="s">
        <v>6</v>
      </c>
      <c r="B44" s="7" t="s">
        <v>70</v>
      </c>
      <c r="C44" s="12" t="s">
        <v>70</v>
      </c>
      <c r="D44" s="7" t="s">
        <v>70</v>
      </c>
      <c r="E44" s="7" t="s">
        <v>70</v>
      </c>
      <c r="F44" s="1"/>
    </row>
    <row r="46" spans="1:5" ht="12.75">
      <c r="A46" s="83" t="s">
        <v>157</v>
      </c>
      <c r="B46" s="83"/>
      <c r="C46" s="83"/>
      <c r="D46" s="83"/>
      <c r="E46" s="83"/>
    </row>
    <row r="47" spans="1:5" ht="12.75">
      <c r="A47" s="83"/>
      <c r="B47" s="83"/>
      <c r="C47" s="83"/>
      <c r="D47" s="83"/>
      <c r="E47" s="83"/>
    </row>
    <row r="50" ht="12.75">
      <c r="A50" s="3"/>
    </row>
    <row r="51" ht="12.75">
      <c r="A51" s="6"/>
    </row>
    <row r="63" ht="12.75">
      <c r="B63" t="s">
        <v>81</v>
      </c>
    </row>
  </sheetData>
  <sheetProtection password="CBC3" sheet="1" objects="1" scenarios="1"/>
  <mergeCells count="7">
    <mergeCell ref="D5:E5"/>
    <mergeCell ref="B5:C5"/>
    <mergeCell ref="A46:E47"/>
    <mergeCell ref="B6:B8"/>
    <mergeCell ref="D6:D8"/>
    <mergeCell ref="C6:C9"/>
    <mergeCell ref="E6:E9"/>
  </mergeCells>
  <printOptions gridLines="1"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53">
      <selection activeCell="B46" sqref="B46"/>
    </sheetView>
  </sheetViews>
  <sheetFormatPr defaultColWidth="9.140625" defaultRowHeight="12.75"/>
  <cols>
    <col min="1" max="1" width="35.7109375" style="0" customWidth="1"/>
    <col min="2" max="2" width="14.7109375" style="0" customWidth="1"/>
    <col min="3" max="3" width="14.57421875" style="0" customWidth="1"/>
  </cols>
  <sheetData>
    <row r="1" spans="1:6" ht="20.25">
      <c r="A1" s="87" t="str">
        <f>+'Income statement'!A1</f>
        <v>TAI KWONG  YOKOHAMA BHD (292788-U)</v>
      </c>
      <c r="B1" s="87"/>
      <c r="C1" s="87"/>
      <c r="D1" s="87"/>
      <c r="E1" s="87"/>
      <c r="F1" s="87"/>
    </row>
    <row r="2" spans="1:6" ht="18">
      <c r="A2" s="4"/>
      <c r="B2" s="4"/>
      <c r="C2" s="4"/>
      <c r="D2" s="4"/>
      <c r="E2" s="4"/>
      <c r="F2" s="4"/>
    </row>
    <row r="3" ht="12.75">
      <c r="A3" s="3" t="s">
        <v>48</v>
      </c>
    </row>
    <row r="5" spans="2:3" ht="12.75">
      <c r="B5" s="5" t="s">
        <v>40</v>
      </c>
      <c r="C5" s="5" t="s">
        <v>40</v>
      </c>
    </row>
    <row r="6" spans="2:3" ht="12.75">
      <c r="B6" s="5" t="s">
        <v>7</v>
      </c>
      <c r="C6" s="5" t="s">
        <v>44</v>
      </c>
    </row>
    <row r="7" spans="2:3" ht="12.75">
      <c r="B7" s="5" t="s">
        <v>41</v>
      </c>
      <c r="C7" s="5" t="s">
        <v>45</v>
      </c>
    </row>
    <row r="8" spans="2:3" ht="12.75">
      <c r="B8" s="5" t="s">
        <v>42</v>
      </c>
      <c r="C8" s="5" t="s">
        <v>46</v>
      </c>
    </row>
    <row r="9" spans="2:3" ht="12.75">
      <c r="B9" s="5"/>
      <c r="C9" s="5"/>
    </row>
    <row r="10" spans="2:3" ht="12.75">
      <c r="B10" s="5" t="str">
        <f>+'Income statement'!B10</f>
        <v>31.12.2006</v>
      </c>
      <c r="C10" s="5" t="s">
        <v>140</v>
      </c>
    </row>
    <row r="11" spans="2:3" ht="12.75">
      <c r="B11" s="6" t="s">
        <v>8</v>
      </c>
      <c r="C11" s="6" t="s">
        <v>8</v>
      </c>
    </row>
    <row r="12" spans="2:3" ht="12.75">
      <c r="B12" s="6"/>
      <c r="C12" s="6" t="s">
        <v>159</v>
      </c>
    </row>
    <row r="13" spans="1:3" ht="12.75">
      <c r="A13" s="3" t="s">
        <v>160</v>
      </c>
      <c r="B13" s="6"/>
      <c r="C13" s="6"/>
    </row>
    <row r="14" spans="1:3" ht="12.75">
      <c r="A14" s="42" t="s">
        <v>161</v>
      </c>
      <c r="B14" s="6"/>
      <c r="C14" s="6"/>
    </row>
    <row r="15" spans="1:5" ht="12.75">
      <c r="A15" t="s">
        <v>162</v>
      </c>
      <c r="B15" s="38">
        <v>46613.696</v>
      </c>
      <c r="C15" s="38">
        <f>62689.389-C16-C22</f>
        <v>45430.395000000004</v>
      </c>
      <c r="D15" s="31"/>
      <c r="E15" s="31"/>
    </row>
    <row r="16" spans="1:5" ht="12.75">
      <c r="A16" t="s">
        <v>163</v>
      </c>
      <c r="B16" s="39">
        <f>16668.389-B22</f>
        <v>16398.773999999998</v>
      </c>
      <c r="C16" s="39">
        <f>17258.994-C22</f>
        <v>16987.847999999998</v>
      </c>
      <c r="D16" s="31"/>
      <c r="E16" s="31"/>
    </row>
    <row r="17" spans="1:5" ht="12.75">
      <c r="A17" t="s">
        <v>164</v>
      </c>
      <c r="B17" s="40">
        <v>421.386</v>
      </c>
      <c r="C17" s="40">
        <v>399</v>
      </c>
      <c r="D17" s="31"/>
      <c r="E17" s="31"/>
    </row>
    <row r="18" spans="1:5" ht="12.75">
      <c r="A18" s="3"/>
      <c r="B18" s="26">
        <f>SUM(B15:B17)</f>
        <v>63433.856</v>
      </c>
      <c r="C18" s="26">
        <f>SUM(C15:C17)</f>
        <v>62817.243</v>
      </c>
      <c r="D18" s="31"/>
      <c r="E18" s="31"/>
    </row>
    <row r="19" spans="2:5" ht="12.75">
      <c r="B19" s="11"/>
      <c r="C19" s="11"/>
      <c r="D19" s="31"/>
      <c r="E19" s="31"/>
    </row>
    <row r="20" spans="2:5" ht="12.75">
      <c r="B20" s="11"/>
      <c r="C20" s="11"/>
      <c r="D20" s="31"/>
      <c r="E20" s="31"/>
    </row>
    <row r="21" spans="1:5" ht="12.75">
      <c r="A21" t="s">
        <v>9</v>
      </c>
      <c r="B21" s="11"/>
      <c r="C21" s="11"/>
      <c r="D21" s="31"/>
      <c r="E21" s="31"/>
    </row>
    <row r="22" spans="1:5" ht="12.75">
      <c r="A22" t="s">
        <v>163</v>
      </c>
      <c r="B22" s="64">
        <v>269.615</v>
      </c>
      <c r="C22" s="38">
        <v>271.146</v>
      </c>
      <c r="D22" s="31"/>
      <c r="E22" s="31"/>
    </row>
    <row r="23" spans="1:5" ht="12.75">
      <c r="A23" t="s">
        <v>10</v>
      </c>
      <c r="B23" s="81">
        <v>30121.562</v>
      </c>
      <c r="C23" s="39">
        <v>28994.512</v>
      </c>
      <c r="D23" s="31"/>
      <c r="E23" s="31"/>
    </row>
    <row r="24" spans="1:5" ht="12.75">
      <c r="A24" t="s">
        <v>11</v>
      </c>
      <c r="B24" s="81">
        <f>32614.4+3370.114+6808.206</f>
        <v>42792.72</v>
      </c>
      <c r="C24" s="39">
        <f>16220.548+9870.56+8331.532</f>
        <v>34422.64</v>
      </c>
      <c r="D24" s="31"/>
      <c r="E24" s="31"/>
    </row>
    <row r="25" spans="1:5" ht="12.75" hidden="1">
      <c r="A25" t="s">
        <v>12</v>
      </c>
      <c r="B25" s="81">
        <v>0</v>
      </c>
      <c r="C25" s="39">
        <v>0</v>
      </c>
      <c r="D25" s="31"/>
      <c r="E25" s="31"/>
    </row>
    <row r="26" spans="1:5" ht="12.75">
      <c r="A26" t="s">
        <v>13</v>
      </c>
      <c r="B26" s="65">
        <f>+working!C36/1000</f>
        <v>1260.262</v>
      </c>
      <c r="C26" s="40">
        <f>3650.545+15.886</f>
        <v>3666.431</v>
      </c>
      <c r="D26" s="31"/>
      <c r="E26" s="31"/>
    </row>
    <row r="27" spans="2:5" ht="12.75">
      <c r="B27" s="11">
        <f>SUM(B22:B26)</f>
        <v>74444.159</v>
      </c>
      <c r="C27" s="11">
        <f>SUM(C22:C26)</f>
        <v>67354.72899999999</v>
      </c>
      <c r="D27" s="31"/>
      <c r="E27" s="31"/>
    </row>
    <row r="28" spans="2:5" ht="12.75">
      <c r="B28" s="11"/>
      <c r="C28" s="11"/>
      <c r="D28" s="31"/>
      <c r="E28" s="31"/>
    </row>
    <row r="29" spans="1:5" ht="13.5" thickBot="1">
      <c r="A29" s="3" t="s">
        <v>165</v>
      </c>
      <c r="B29" s="27">
        <f>+B27+B18</f>
        <v>137878.015</v>
      </c>
      <c r="C29" s="27">
        <f>+C27+C18</f>
        <v>130171.972</v>
      </c>
      <c r="D29" s="31"/>
      <c r="E29" s="31"/>
    </row>
    <row r="30" spans="2:5" ht="13.5" thickTop="1">
      <c r="B30" s="11"/>
      <c r="C30" s="11"/>
      <c r="D30" s="31"/>
      <c r="E30" s="31"/>
    </row>
    <row r="31" spans="1:5" ht="12.75">
      <c r="A31" s="3" t="s">
        <v>166</v>
      </c>
      <c r="B31" s="11"/>
      <c r="C31" s="11"/>
      <c r="D31" s="31"/>
      <c r="E31" s="31"/>
    </row>
    <row r="32" spans="1:5" ht="12.75">
      <c r="A32" t="s">
        <v>167</v>
      </c>
      <c r="B32" s="11"/>
      <c r="C32" s="11"/>
      <c r="D32" s="31"/>
      <c r="E32" s="31"/>
    </row>
    <row r="33" spans="1:5" ht="12.75">
      <c r="A33" t="s">
        <v>168</v>
      </c>
      <c r="B33" s="38">
        <v>43560</v>
      </c>
      <c r="C33" s="38">
        <v>43560</v>
      </c>
      <c r="D33" s="31"/>
      <c r="E33" s="31"/>
    </row>
    <row r="34" spans="1:5" ht="12.75">
      <c r="A34" t="s">
        <v>169</v>
      </c>
      <c r="B34" s="40">
        <f>2167.58+1.298+4636.827</f>
        <v>6805.705</v>
      </c>
      <c r="C34" s="40">
        <f>2167.58+218.414-3134.538</f>
        <v>-748.5440000000003</v>
      </c>
      <c r="D34" s="31"/>
      <c r="E34" s="31"/>
    </row>
    <row r="35" spans="2:5" ht="12.75">
      <c r="B35" s="11">
        <f>SUM(B33:B34)</f>
        <v>50365.705</v>
      </c>
      <c r="C35" s="11">
        <f>SUM(C33:C34)</f>
        <v>42811.456</v>
      </c>
      <c r="D35" s="31"/>
      <c r="E35" s="31"/>
    </row>
    <row r="36" spans="2:5" ht="12.75">
      <c r="B36" s="11"/>
      <c r="C36" s="11"/>
      <c r="D36" s="31"/>
      <c r="E36" s="31"/>
    </row>
    <row r="37" spans="1:5" ht="12.75">
      <c r="A37" t="s">
        <v>68</v>
      </c>
      <c r="B37" s="11">
        <v>5.923</v>
      </c>
      <c r="C37" s="11">
        <v>28.852</v>
      </c>
      <c r="D37" s="31"/>
      <c r="E37" s="31"/>
    </row>
    <row r="38" spans="1:5" ht="13.5" thickBot="1">
      <c r="A38" s="3" t="s">
        <v>170</v>
      </c>
      <c r="B38" s="27">
        <f>+B35+B37</f>
        <v>50371.628000000004</v>
      </c>
      <c r="C38" s="27">
        <f>+C35+C37</f>
        <v>42840.308</v>
      </c>
      <c r="D38" s="31"/>
      <c r="E38" s="31"/>
    </row>
    <row r="39" spans="1:5" ht="13.5" thickTop="1">
      <c r="A39" s="3"/>
      <c r="B39" s="26"/>
      <c r="C39" s="26"/>
      <c r="D39" s="31"/>
      <c r="E39" s="31"/>
    </row>
    <row r="40" spans="1:5" ht="12.75">
      <c r="A40" s="42" t="s">
        <v>171</v>
      </c>
      <c r="B40" s="26"/>
      <c r="C40" s="26"/>
      <c r="D40" s="31"/>
      <c r="E40" s="31"/>
    </row>
    <row r="41" spans="1:5" ht="12.75">
      <c r="A41" t="s">
        <v>172</v>
      </c>
      <c r="B41" s="64">
        <f>+working!C53/1000</f>
        <v>17234.002</v>
      </c>
      <c r="C41" s="38">
        <f>+working!G53/1000</f>
        <v>22235.508</v>
      </c>
      <c r="D41" s="31"/>
      <c r="E41" s="31"/>
    </row>
    <row r="42" spans="1:5" ht="12.75">
      <c r="A42" t="s">
        <v>173</v>
      </c>
      <c r="B42" s="65">
        <v>1272.678</v>
      </c>
      <c r="C42" s="40">
        <v>456</v>
      </c>
      <c r="D42" s="31"/>
      <c r="E42" s="31"/>
    </row>
    <row r="43" spans="1:5" ht="12.75">
      <c r="A43" s="3"/>
      <c r="B43" s="26">
        <f>SUM(B41:B42)</f>
        <v>18506.68</v>
      </c>
      <c r="C43" s="26">
        <f>SUM(C41:C42)</f>
        <v>22691.508</v>
      </c>
      <c r="D43" s="31"/>
      <c r="E43" s="31"/>
    </row>
    <row r="44" spans="1:5" ht="12.75">
      <c r="A44" s="3"/>
      <c r="B44" s="26"/>
      <c r="C44" s="26"/>
      <c r="D44" s="31"/>
      <c r="E44" s="31"/>
    </row>
    <row r="45" spans="1:5" ht="12.75">
      <c r="A45" t="s">
        <v>174</v>
      </c>
      <c r="B45" s="11"/>
      <c r="C45" s="11"/>
      <c r="D45" s="31"/>
      <c r="E45" s="31"/>
    </row>
    <row r="46" spans="1:5" ht="12.75">
      <c r="A46" t="s">
        <v>14</v>
      </c>
      <c r="B46" s="38">
        <f>4594.659+6929.219</f>
        <v>11523.878</v>
      </c>
      <c r="C46" s="38">
        <f>5470.004+5735.872</f>
        <v>11205.876</v>
      </c>
      <c r="D46" s="31"/>
      <c r="E46" s="31"/>
    </row>
    <row r="47" spans="1:5" ht="12.75">
      <c r="A47" t="s">
        <v>15</v>
      </c>
      <c r="B47" s="39">
        <f>+working!C48/1000</f>
        <v>57354.236</v>
      </c>
      <c r="C47" s="39">
        <f>+working!G48/1000</f>
        <v>53079.036</v>
      </c>
      <c r="D47" s="31"/>
      <c r="E47" s="31"/>
    </row>
    <row r="48" spans="1:5" ht="12.75">
      <c r="A48" t="s">
        <v>16</v>
      </c>
      <c r="B48" s="40">
        <v>121.592</v>
      </c>
      <c r="C48" s="40">
        <v>355.244</v>
      </c>
      <c r="D48" s="31"/>
      <c r="E48" s="31"/>
    </row>
    <row r="49" spans="2:5" ht="12.75">
      <c r="B49" s="11">
        <f>SUM(B46:B48)</f>
        <v>68999.706</v>
      </c>
      <c r="C49" s="11">
        <f>SUM(C46:C48)</f>
        <v>64640.155999999995</v>
      </c>
      <c r="D49" s="31"/>
      <c r="E49" s="31"/>
    </row>
    <row r="50" spans="2:5" ht="12.75">
      <c r="B50" s="11"/>
      <c r="C50" s="11"/>
      <c r="D50" s="31"/>
      <c r="E50" s="31"/>
    </row>
    <row r="51" spans="1:5" ht="12.75">
      <c r="A51" t="s">
        <v>175</v>
      </c>
      <c r="B51" s="11">
        <f>+B49+B43</f>
        <v>87506.386</v>
      </c>
      <c r="C51" s="11">
        <f>+C49+C43</f>
        <v>87331.66399999999</v>
      </c>
      <c r="D51" s="31"/>
      <c r="E51" s="31"/>
    </row>
    <row r="52" spans="2:5" ht="12.75">
      <c r="B52" s="11"/>
      <c r="C52" s="11"/>
      <c r="D52" s="31"/>
      <c r="E52" s="31"/>
    </row>
    <row r="53" spans="1:5" ht="13.5" thickBot="1">
      <c r="A53" s="3" t="s">
        <v>176</v>
      </c>
      <c r="B53" s="27">
        <f>+B51+B38</f>
        <v>137878.014</v>
      </c>
      <c r="C53" s="27">
        <f>+C51+C38</f>
        <v>130171.97199999998</v>
      </c>
      <c r="D53" s="31"/>
      <c r="E53" s="31"/>
    </row>
    <row r="54" spans="2:5" ht="13.5" thickTop="1">
      <c r="B54" s="80">
        <f>+B53-B29</f>
        <v>-0.0010000000183936208</v>
      </c>
      <c r="C54" s="77">
        <f>+C53-C29</f>
        <v>0</v>
      </c>
      <c r="D54" s="31"/>
      <c r="E54" s="31"/>
    </row>
    <row r="55" spans="1:5" ht="12.75" hidden="1">
      <c r="A55" t="s">
        <v>18</v>
      </c>
      <c r="B55" s="12" t="e">
        <f>+(+#REF!-B19+#REF!)/43560</f>
        <v>#REF!</v>
      </c>
      <c r="C55" s="12" t="e">
        <f>+(+#REF!-C19+#REF!)/43560</f>
        <v>#REF!</v>
      </c>
      <c r="D55" s="31"/>
      <c r="E55" s="31"/>
    </row>
    <row r="56" spans="1:5" ht="12.75">
      <c r="A56" s="88" t="s">
        <v>193</v>
      </c>
      <c r="B56" s="12"/>
      <c r="C56" s="12"/>
      <c r="D56" s="31"/>
      <c r="E56" s="31"/>
    </row>
    <row r="57" spans="1:5" ht="12.75">
      <c r="A57" s="88"/>
      <c r="B57" s="12">
        <f>+B35/43560</f>
        <v>1.1562374885215794</v>
      </c>
      <c r="C57" s="12">
        <f>+C35/43560</f>
        <v>0.9828157943067034</v>
      </c>
      <c r="D57" s="31"/>
      <c r="E57" s="31"/>
    </row>
    <row r="58" ht="12.75">
      <c r="A58" s="66"/>
    </row>
    <row r="59" spans="1:5" ht="12.75">
      <c r="A59" s="83" t="s">
        <v>158</v>
      </c>
      <c r="B59" s="83"/>
      <c r="C59" s="83"/>
      <c r="D59" s="83"/>
      <c r="E59" s="83"/>
    </row>
    <row r="60" spans="1:5" ht="12.75">
      <c r="A60" s="83"/>
      <c r="B60" s="83"/>
      <c r="C60" s="83"/>
      <c r="D60" s="83"/>
      <c r="E60" s="83"/>
    </row>
  </sheetData>
  <mergeCells count="3">
    <mergeCell ref="A1:F1"/>
    <mergeCell ref="A59:E60"/>
    <mergeCell ref="A56:A57"/>
  </mergeCells>
  <printOptions gridLines="1"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23.8515625" style="0" customWidth="1"/>
    <col min="2" max="2" width="12.140625" style="0" customWidth="1"/>
    <col min="3" max="3" width="13.8515625" style="0" customWidth="1"/>
    <col min="4" max="4" width="11.57421875" style="0" customWidth="1"/>
    <col min="5" max="7" width="16.140625" style="0" customWidth="1"/>
    <col min="8" max="8" width="9.7109375" style="0" customWidth="1"/>
  </cols>
  <sheetData>
    <row r="1" ht="20.25">
      <c r="A1" s="8" t="str">
        <f>+'Income statement'!A1</f>
        <v>TAI KWONG  YOKOHAMA BHD (292788-U)</v>
      </c>
    </row>
    <row r="3" ht="12.75">
      <c r="A3" s="3" t="s">
        <v>33</v>
      </c>
    </row>
    <row r="4" ht="12.75">
      <c r="A4" s="3"/>
    </row>
    <row r="5" spans="2:9" ht="12.75">
      <c r="B5" s="89" t="s">
        <v>178</v>
      </c>
      <c r="C5" s="89"/>
      <c r="D5" s="89"/>
      <c r="E5" s="89"/>
      <c r="F5" s="89"/>
      <c r="G5" s="89"/>
      <c r="H5" s="90" t="s">
        <v>155</v>
      </c>
      <c r="I5" s="90" t="s">
        <v>170</v>
      </c>
    </row>
    <row r="6" spans="8:9" ht="12.75" customHeight="1" hidden="1">
      <c r="H6" s="90"/>
      <c r="I6" s="90"/>
    </row>
    <row r="7" spans="8:9" ht="12.75" customHeight="1" hidden="1">
      <c r="H7" s="90"/>
      <c r="I7" s="90"/>
    </row>
    <row r="8" spans="2:9" ht="12.75">
      <c r="B8" s="89"/>
      <c r="C8" s="89"/>
      <c r="D8" s="89"/>
      <c r="E8" s="91" t="s">
        <v>34</v>
      </c>
      <c r="F8" s="91" t="s">
        <v>36</v>
      </c>
      <c r="G8" s="1"/>
      <c r="H8" s="90"/>
      <c r="I8" s="90"/>
    </row>
    <row r="9" spans="2:7" ht="12.75">
      <c r="B9" s="1"/>
      <c r="C9" s="1"/>
      <c r="D9" s="1"/>
      <c r="E9" s="91"/>
      <c r="F9" s="91"/>
      <c r="G9" s="1"/>
    </row>
    <row r="10" spans="2:7" ht="12.75" customHeight="1">
      <c r="B10" s="1"/>
      <c r="C10" s="1"/>
      <c r="D10" s="1"/>
      <c r="E10" s="92" t="s">
        <v>69</v>
      </c>
      <c r="F10" s="91" t="s">
        <v>37</v>
      </c>
      <c r="G10" s="91" t="s">
        <v>38</v>
      </c>
    </row>
    <row r="11" spans="2:7" ht="12.75" customHeight="1">
      <c r="B11" s="1" t="s">
        <v>17</v>
      </c>
      <c r="C11" s="1" t="s">
        <v>35</v>
      </c>
      <c r="D11" s="90" t="s">
        <v>116</v>
      </c>
      <c r="E11" s="92"/>
      <c r="F11" s="91"/>
      <c r="G11" s="91"/>
    </row>
    <row r="12" spans="2:7" ht="12.75">
      <c r="B12" s="1"/>
      <c r="C12" s="1"/>
      <c r="D12" s="90"/>
      <c r="E12" s="92"/>
      <c r="F12" s="91"/>
      <c r="G12" s="91"/>
    </row>
    <row r="13" spans="2:9" ht="12.75">
      <c r="B13" s="1" t="s">
        <v>2</v>
      </c>
      <c r="C13" s="1" t="s">
        <v>2</v>
      </c>
      <c r="D13" s="1" t="s">
        <v>2</v>
      </c>
      <c r="E13" s="1" t="s">
        <v>2</v>
      </c>
      <c r="F13" s="1" t="s">
        <v>2</v>
      </c>
      <c r="G13" s="1" t="s">
        <v>8</v>
      </c>
      <c r="H13" s="1" t="s">
        <v>8</v>
      </c>
      <c r="I13" s="1" t="s">
        <v>8</v>
      </c>
    </row>
    <row r="14" spans="2:7" ht="12.75">
      <c r="B14" s="1"/>
      <c r="C14" s="1"/>
      <c r="D14" s="1"/>
      <c r="E14" s="1"/>
      <c r="F14" s="1"/>
      <c r="G14" s="1"/>
    </row>
    <row r="15" spans="1:9" ht="12.75">
      <c r="A15" t="s">
        <v>177</v>
      </c>
      <c r="B15" s="11">
        <v>43560</v>
      </c>
      <c r="C15" s="11">
        <v>2167.58</v>
      </c>
      <c r="D15" s="11">
        <v>218.414</v>
      </c>
      <c r="E15" s="11">
        <f>SUM(B15:D15)</f>
        <v>45945.994</v>
      </c>
      <c r="F15" s="11">
        <v>-3134.538</v>
      </c>
      <c r="G15" s="11">
        <f>+F15+E15</f>
        <v>42811.456</v>
      </c>
      <c r="H15" s="11">
        <v>28.852</v>
      </c>
      <c r="I15" s="11">
        <f>SUM(G15:H15)</f>
        <v>42840.308</v>
      </c>
    </row>
    <row r="16" spans="2:9" ht="12.75">
      <c r="B16" s="11"/>
      <c r="C16" s="11"/>
      <c r="D16" s="11"/>
      <c r="E16" s="11"/>
      <c r="F16" s="11"/>
      <c r="G16" s="11"/>
      <c r="H16" s="34"/>
      <c r="I16" s="1"/>
    </row>
    <row r="17" spans="1:9" ht="12.75">
      <c r="A17" t="s">
        <v>179</v>
      </c>
      <c r="B17" s="11">
        <v>0</v>
      </c>
      <c r="C17" s="11">
        <v>0</v>
      </c>
      <c r="D17" s="11">
        <v>-217.116</v>
      </c>
      <c r="E17" s="11">
        <f>SUM(B17:D17)</f>
        <v>-217.116</v>
      </c>
      <c r="F17" s="11">
        <f>+'Income statement'!D35</f>
        <v>7771.7970000000005</v>
      </c>
      <c r="G17" s="11">
        <f>+F17+E17</f>
        <v>7554.6810000000005</v>
      </c>
      <c r="H17" s="34">
        <v>-22.93</v>
      </c>
      <c r="I17" s="11">
        <f>+G17+H17</f>
        <v>7531.751</v>
      </c>
    </row>
    <row r="18" spans="2:9" ht="12.75">
      <c r="B18" s="30"/>
      <c r="C18" s="30"/>
      <c r="D18" s="30"/>
      <c r="E18" s="30"/>
      <c r="F18" s="30"/>
      <c r="G18" s="30"/>
      <c r="H18" s="67"/>
      <c r="I18" s="30"/>
    </row>
    <row r="19" spans="1:9" ht="12.75">
      <c r="A19" s="83" t="s">
        <v>180</v>
      </c>
      <c r="B19" s="11"/>
      <c r="C19" s="11"/>
      <c r="D19" s="11">
        <f>+D17</f>
        <v>-217.116</v>
      </c>
      <c r="E19" s="11">
        <f>SUM(B19:D19)</f>
        <v>-217.116</v>
      </c>
      <c r="F19" s="11">
        <f>+F17</f>
        <v>7771.7970000000005</v>
      </c>
      <c r="G19" s="11">
        <f>+F19+E19</f>
        <v>7554.6810000000005</v>
      </c>
      <c r="H19" s="34">
        <f>+H17</f>
        <v>-22.93</v>
      </c>
      <c r="I19" s="11">
        <f>+G19+H19</f>
        <v>7531.751</v>
      </c>
    </row>
    <row r="20" spans="1:9" ht="12.75">
      <c r="A20" s="83"/>
      <c r="B20" s="11"/>
      <c r="C20" s="11"/>
      <c r="D20" s="11"/>
      <c r="E20" s="11"/>
      <c r="F20" s="11"/>
      <c r="G20" s="11"/>
      <c r="H20" s="1"/>
      <c r="I20" s="11"/>
    </row>
    <row r="21" spans="2:9" ht="12.75">
      <c r="B21" s="11"/>
      <c r="C21" s="11"/>
      <c r="D21" s="11"/>
      <c r="E21" s="11"/>
      <c r="F21" s="11"/>
      <c r="G21" s="11"/>
      <c r="H21" s="1"/>
      <c r="I21" s="11"/>
    </row>
    <row r="22" spans="1:9" ht="12.75">
      <c r="A22" s="88" t="s">
        <v>181</v>
      </c>
      <c r="B22" s="11">
        <v>0</v>
      </c>
      <c r="C22" s="11">
        <v>0</v>
      </c>
      <c r="D22" s="11">
        <v>0</v>
      </c>
      <c r="E22" s="11">
        <f>SUM(B22:D22)</f>
        <v>0</v>
      </c>
      <c r="F22" s="11">
        <v>0</v>
      </c>
      <c r="G22" s="11">
        <f>+F22+E22</f>
        <v>0</v>
      </c>
      <c r="H22" s="1">
        <v>0</v>
      </c>
      <c r="I22" s="11">
        <f>SUM(G22:H22)</f>
        <v>0</v>
      </c>
    </row>
    <row r="23" spans="1:9" ht="12.75">
      <c r="A23" s="88"/>
      <c r="B23" s="11"/>
      <c r="C23" s="11"/>
      <c r="D23" s="11"/>
      <c r="E23" s="11"/>
      <c r="F23" s="11"/>
      <c r="G23" s="11"/>
      <c r="H23" s="1"/>
      <c r="I23" s="11"/>
    </row>
    <row r="24" spans="1:9" ht="12.75">
      <c r="A24" s="66"/>
      <c r="B24" s="11"/>
      <c r="C24" s="11"/>
      <c r="D24" s="11"/>
      <c r="E24" s="11"/>
      <c r="F24" s="11"/>
      <c r="G24" s="11"/>
      <c r="H24" s="1"/>
      <c r="I24" s="11"/>
    </row>
    <row r="25" spans="1:10" ht="13.5" thickBot="1">
      <c r="A25" t="s">
        <v>206</v>
      </c>
      <c r="B25" s="27">
        <f aca="true" t="shared" si="0" ref="B25:G25">+B15+B19-B22</f>
        <v>43560</v>
      </c>
      <c r="C25" s="27">
        <f t="shared" si="0"/>
        <v>2167.58</v>
      </c>
      <c r="D25" s="27">
        <f t="shared" si="0"/>
        <v>1.2979999999999734</v>
      </c>
      <c r="E25" s="27">
        <f t="shared" si="0"/>
        <v>45728.878</v>
      </c>
      <c r="F25" s="27">
        <f t="shared" si="0"/>
        <v>4637.259</v>
      </c>
      <c r="G25" s="27">
        <f t="shared" si="0"/>
        <v>50366.137</v>
      </c>
      <c r="H25" s="27">
        <f>+H15+H17</f>
        <v>5.922000000000001</v>
      </c>
      <c r="I25" s="27">
        <f>SUM(G25:H25)</f>
        <v>50372.059</v>
      </c>
      <c r="J25" s="13"/>
    </row>
    <row r="26" spans="2:9" ht="13.5" thickTop="1">
      <c r="B26" s="26"/>
      <c r="C26" s="26"/>
      <c r="D26" s="26"/>
      <c r="E26" s="26"/>
      <c r="F26" s="26"/>
      <c r="G26" s="26"/>
      <c r="H26" s="26"/>
      <c r="I26" s="26"/>
    </row>
    <row r="27" spans="2:9" ht="12.75">
      <c r="B27" s="26"/>
      <c r="C27" s="26"/>
      <c r="D27" s="26"/>
      <c r="E27" s="26"/>
      <c r="F27" s="26"/>
      <c r="G27" s="26"/>
      <c r="H27" s="26"/>
      <c r="I27" s="26"/>
    </row>
    <row r="28" spans="1:9" ht="12.75">
      <c r="A28" t="s">
        <v>137</v>
      </c>
      <c r="B28" s="11">
        <v>43560</v>
      </c>
      <c r="C28" s="11">
        <v>2167.58</v>
      </c>
      <c r="D28" s="11">
        <v>0</v>
      </c>
      <c r="E28" s="11">
        <f>SUM(B28:D28)</f>
        <v>45727.58</v>
      </c>
      <c r="F28" s="11">
        <v>4301.595</v>
      </c>
      <c r="G28" s="11">
        <f>+F28+E28</f>
        <v>50029.175</v>
      </c>
      <c r="H28" s="11">
        <v>62.465</v>
      </c>
      <c r="I28" s="11">
        <f>SUM(G28:H28)</f>
        <v>50091.64</v>
      </c>
    </row>
    <row r="29" spans="2:14" ht="12.75">
      <c r="B29" s="11"/>
      <c r="C29" s="11"/>
      <c r="D29" s="11"/>
      <c r="E29" s="11"/>
      <c r="F29" s="11"/>
      <c r="G29" s="11"/>
      <c r="I29" s="1"/>
      <c r="J29" s="22"/>
      <c r="K29" s="22"/>
      <c r="L29" s="22"/>
      <c r="M29" s="22"/>
      <c r="N29" s="22"/>
    </row>
    <row r="30" spans="1:14" ht="12.75">
      <c r="A30" t="s">
        <v>179</v>
      </c>
      <c r="B30" s="11">
        <v>0</v>
      </c>
      <c r="C30" s="11">
        <v>0</v>
      </c>
      <c r="D30" s="11">
        <v>218</v>
      </c>
      <c r="E30" s="11">
        <f>SUM(B30:D30)</f>
        <v>218</v>
      </c>
      <c r="F30" s="11">
        <f>+'Income statement'!E35</f>
        <v>-6181.605999999996</v>
      </c>
      <c r="G30" s="11">
        <f>+F30+E30</f>
        <v>-5963.605999999996</v>
      </c>
      <c r="H30" s="11">
        <v>-31.112</v>
      </c>
      <c r="I30" s="11">
        <f>+G30+H30</f>
        <v>-5994.717999999996</v>
      </c>
      <c r="J30" s="22"/>
      <c r="K30" s="22"/>
      <c r="L30" s="22"/>
      <c r="M30" s="22"/>
      <c r="N30" s="22"/>
    </row>
    <row r="31" spans="2:14" ht="12.75">
      <c r="B31" s="30"/>
      <c r="C31" s="30"/>
      <c r="D31" s="30"/>
      <c r="E31" s="30"/>
      <c r="F31" s="30"/>
      <c r="G31" s="30"/>
      <c r="H31" s="67"/>
      <c r="I31" s="30"/>
      <c r="J31" s="68"/>
      <c r="K31" s="22"/>
      <c r="L31" s="22"/>
      <c r="M31" s="22"/>
      <c r="N31" s="22"/>
    </row>
    <row r="32" spans="1:14" ht="12" customHeight="1">
      <c r="A32" s="83" t="s">
        <v>180</v>
      </c>
      <c r="B32" s="11"/>
      <c r="C32" s="11"/>
      <c r="D32" s="11">
        <f>+D30</f>
        <v>218</v>
      </c>
      <c r="E32" s="11">
        <f>SUM(B32:D32)</f>
        <v>218</v>
      </c>
      <c r="F32" s="11">
        <f>+F30</f>
        <v>-6181.605999999996</v>
      </c>
      <c r="G32" s="11">
        <f>+F32+E32</f>
        <v>-5963.605999999996</v>
      </c>
      <c r="H32" s="11">
        <f>+H30</f>
        <v>-31.112</v>
      </c>
      <c r="I32" s="11">
        <f>+G32+H32</f>
        <v>-5994.717999999996</v>
      </c>
      <c r="J32" s="22"/>
      <c r="K32" s="22"/>
      <c r="L32" s="22"/>
      <c r="M32" s="22"/>
      <c r="N32" s="22"/>
    </row>
    <row r="33" spans="1:14" ht="12.75">
      <c r="A33" s="83"/>
      <c r="B33" s="11"/>
      <c r="C33" s="11"/>
      <c r="D33" s="11"/>
      <c r="E33" s="11"/>
      <c r="F33" s="11"/>
      <c r="G33" s="11"/>
      <c r="H33" s="1"/>
      <c r="I33" s="11"/>
      <c r="J33" s="22"/>
      <c r="K33" s="22"/>
      <c r="L33" s="22"/>
      <c r="M33" s="22"/>
      <c r="N33" s="22"/>
    </row>
    <row r="34" spans="1:14" ht="12.75">
      <c r="A34" s="10"/>
      <c r="B34" s="11"/>
      <c r="C34" s="11"/>
      <c r="D34" s="11"/>
      <c r="E34" s="11"/>
      <c r="F34" s="11"/>
      <c r="G34" s="11"/>
      <c r="H34" s="1"/>
      <c r="I34" s="11"/>
      <c r="J34" s="22"/>
      <c r="K34" s="22"/>
      <c r="L34" s="22"/>
      <c r="M34" s="22"/>
      <c r="N34" s="22"/>
    </row>
    <row r="35" spans="1:14" ht="12.75">
      <c r="A35" s="10" t="s">
        <v>194</v>
      </c>
      <c r="B35" s="11"/>
      <c r="C35" s="11"/>
      <c r="D35" s="11"/>
      <c r="E35" s="11"/>
      <c r="F35" s="11"/>
      <c r="G35" s="11"/>
      <c r="H35" s="11">
        <v>-2.49</v>
      </c>
      <c r="I35" s="11">
        <f>+G35+H35</f>
        <v>-2.49</v>
      </c>
      <c r="J35" s="22"/>
      <c r="K35" s="22"/>
      <c r="L35" s="22"/>
      <c r="M35" s="22"/>
      <c r="N35" s="22"/>
    </row>
    <row r="36" spans="2:14" ht="12.75">
      <c r="B36" s="11"/>
      <c r="C36" s="11"/>
      <c r="D36" s="11"/>
      <c r="E36" s="11"/>
      <c r="F36" s="11"/>
      <c r="G36" s="11"/>
      <c r="H36" s="1"/>
      <c r="I36" s="11"/>
      <c r="J36" s="22"/>
      <c r="K36" s="22"/>
      <c r="L36" s="22"/>
      <c r="M36" s="22"/>
      <c r="N36" s="22"/>
    </row>
    <row r="37" spans="1:14" ht="12.75" customHeight="1">
      <c r="A37" s="88" t="s">
        <v>181</v>
      </c>
      <c r="B37" s="11">
        <v>0</v>
      </c>
      <c r="C37" s="11">
        <v>0</v>
      </c>
      <c r="D37" s="11">
        <v>0</v>
      </c>
      <c r="E37" s="11">
        <f>SUM(B37:D37)</f>
        <v>0</v>
      </c>
      <c r="F37" s="11">
        <v>1254.528</v>
      </c>
      <c r="G37" s="11">
        <f>+F37+E37</f>
        <v>1254.528</v>
      </c>
      <c r="H37" s="1">
        <v>0</v>
      </c>
      <c r="I37" s="11">
        <f>SUM(G37:H37)</f>
        <v>1254.528</v>
      </c>
      <c r="J37" s="22"/>
      <c r="K37" s="22"/>
      <c r="L37" s="22"/>
      <c r="M37" s="22"/>
      <c r="N37" s="22"/>
    </row>
    <row r="38" spans="1:14" ht="12.75" customHeight="1">
      <c r="A38" s="88"/>
      <c r="B38" s="11"/>
      <c r="C38" s="11"/>
      <c r="D38" s="11"/>
      <c r="E38" s="11"/>
      <c r="F38" s="11"/>
      <c r="G38" s="11"/>
      <c r="H38" s="1"/>
      <c r="I38" s="11"/>
      <c r="J38" s="22"/>
      <c r="K38" s="22"/>
      <c r="L38" s="22"/>
      <c r="M38" s="22"/>
      <c r="N38" s="22"/>
    </row>
    <row r="39" spans="1:14" ht="12.75" customHeight="1">
      <c r="A39" s="66"/>
      <c r="B39" s="11"/>
      <c r="C39" s="11"/>
      <c r="D39" s="11"/>
      <c r="E39" s="11"/>
      <c r="F39" s="11"/>
      <c r="G39" s="11"/>
      <c r="H39" s="1"/>
      <c r="I39" s="11"/>
      <c r="J39" s="22"/>
      <c r="K39" s="22"/>
      <c r="L39" s="22"/>
      <c r="M39" s="22"/>
      <c r="N39" s="22"/>
    </row>
    <row r="40" spans="1:14" ht="13.5" thickBot="1">
      <c r="A40" t="s">
        <v>207</v>
      </c>
      <c r="B40" s="27">
        <f aca="true" t="shared" si="1" ref="B40:G40">+B28+B32-B37</f>
        <v>43560</v>
      </c>
      <c r="C40" s="27">
        <f t="shared" si="1"/>
        <v>2167.58</v>
      </c>
      <c r="D40" s="27">
        <f t="shared" si="1"/>
        <v>218</v>
      </c>
      <c r="E40" s="27">
        <f t="shared" si="1"/>
        <v>45945.58</v>
      </c>
      <c r="F40" s="27">
        <f t="shared" si="1"/>
        <v>-3134.538999999996</v>
      </c>
      <c r="G40" s="27">
        <f t="shared" si="1"/>
        <v>42811.041000000005</v>
      </c>
      <c r="H40" s="27">
        <f>+H28+H30+H35</f>
        <v>28.863000000000007</v>
      </c>
      <c r="I40" s="27">
        <f>+I28+I30+I35-I37</f>
        <v>42839.90400000001</v>
      </c>
      <c r="J40" s="22"/>
      <c r="K40" s="22"/>
      <c r="L40" s="22"/>
      <c r="M40" s="22"/>
      <c r="N40" s="22"/>
    </row>
    <row r="41" spans="1:14" ht="13.5" thickTop="1">
      <c r="A41" s="22"/>
      <c r="B41" s="26"/>
      <c r="C41" s="26"/>
      <c r="D41" s="26"/>
      <c r="E41" s="26"/>
      <c r="F41" s="26"/>
      <c r="G41" s="26"/>
      <c r="H41" s="26"/>
      <c r="I41" s="26"/>
      <c r="J41" s="22"/>
      <c r="K41" s="22"/>
      <c r="L41" s="22"/>
      <c r="M41" s="22"/>
      <c r="N41" s="22"/>
    </row>
    <row r="42" spans="1:14" ht="12.75">
      <c r="A42" s="22"/>
      <c r="B42" s="26"/>
      <c r="C42" s="26"/>
      <c r="D42" s="26"/>
      <c r="E42" s="26"/>
      <c r="F42" s="26"/>
      <c r="G42" s="26"/>
      <c r="H42" s="26"/>
      <c r="I42" s="26"/>
      <c r="J42" s="22"/>
      <c r="K42" s="22"/>
      <c r="L42" s="22"/>
      <c r="M42" s="22"/>
      <c r="N42" s="22"/>
    </row>
    <row r="44" spans="1:7" ht="12.75">
      <c r="A44" s="83" t="s">
        <v>182</v>
      </c>
      <c r="B44" s="83"/>
      <c r="C44" s="83"/>
      <c r="D44" s="83"/>
      <c r="E44" s="83"/>
      <c r="F44" s="83"/>
      <c r="G44" s="83"/>
    </row>
    <row r="45" spans="1:7" ht="12.75">
      <c r="A45" s="83"/>
      <c r="B45" s="83"/>
      <c r="C45" s="83"/>
      <c r="D45" s="83"/>
      <c r="E45" s="83"/>
      <c r="F45" s="83"/>
      <c r="G45" s="83"/>
    </row>
    <row r="46" spans="1:7" ht="12.75">
      <c r="A46" s="83"/>
      <c r="B46" s="83"/>
      <c r="C46" s="83"/>
      <c r="D46" s="83"/>
      <c r="E46" s="83"/>
      <c r="F46" s="83"/>
      <c r="G46" s="83"/>
    </row>
  </sheetData>
  <mergeCells count="15">
    <mergeCell ref="A32:A33"/>
    <mergeCell ref="A37:A38"/>
    <mergeCell ref="A44:G46"/>
    <mergeCell ref="G10:G12"/>
    <mergeCell ref="A22:A23"/>
    <mergeCell ref="B5:G5"/>
    <mergeCell ref="H5:H8"/>
    <mergeCell ref="I5:I8"/>
    <mergeCell ref="A19:A20"/>
    <mergeCell ref="F8:F9"/>
    <mergeCell ref="F10:F12"/>
    <mergeCell ref="D11:D12"/>
    <mergeCell ref="E8:E9"/>
    <mergeCell ref="E10:E12"/>
    <mergeCell ref="B8:D8"/>
  </mergeCells>
  <printOptions gridLines="1"/>
  <pageMargins left="0.75" right="0.75" top="1" bottom="1" header="0.5" footer="0.5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workbookViewId="0" topLeftCell="A1">
      <selection activeCell="E38" sqref="E3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8" t="str">
        <f>+'Income statement'!A1</f>
        <v>TAI KWONG  YOKOHAMA BHD (292788-U)</v>
      </c>
    </row>
    <row r="3" ht="12.75">
      <c r="B3" s="3" t="s">
        <v>54</v>
      </c>
    </row>
    <row r="4" spans="21:33" ht="12.75">
      <c r="U4" t="s">
        <v>51</v>
      </c>
      <c r="V4" t="s">
        <v>52</v>
      </c>
      <c r="X4" t="s">
        <v>53</v>
      </c>
      <c r="Y4" t="s">
        <v>52</v>
      </c>
      <c r="AC4" t="s">
        <v>8</v>
      </c>
      <c r="AD4" t="s">
        <v>8</v>
      </c>
      <c r="AF4" t="s">
        <v>8</v>
      </c>
      <c r="AG4" t="s">
        <v>8</v>
      </c>
    </row>
    <row r="6" spans="3:8" ht="12.75">
      <c r="C6" s="82" t="s">
        <v>55</v>
      </c>
      <c r="D6" s="82"/>
      <c r="E6" s="82" t="s">
        <v>56</v>
      </c>
      <c r="F6" s="82"/>
      <c r="H6" s="9"/>
    </row>
    <row r="7" spans="3:6" ht="12.75">
      <c r="C7" s="94" t="s">
        <v>57</v>
      </c>
      <c r="D7" s="94" t="s">
        <v>58</v>
      </c>
      <c r="E7" s="94" t="s">
        <v>60</v>
      </c>
      <c r="F7" s="94" t="s">
        <v>59</v>
      </c>
    </row>
    <row r="8" spans="3:6" ht="12.75">
      <c r="C8" s="94"/>
      <c r="D8" s="94"/>
      <c r="E8" s="94"/>
      <c r="F8" s="94"/>
    </row>
    <row r="9" spans="3:6" ht="12.75">
      <c r="C9" s="94"/>
      <c r="D9" s="94"/>
      <c r="E9" s="94"/>
      <c r="F9" s="94"/>
    </row>
    <row r="10" spans="3:6" ht="12.75">
      <c r="C10" s="6" t="str">
        <f>+'Income statement'!B10</f>
        <v>31.12.2006</v>
      </c>
      <c r="D10" s="6" t="str">
        <f>+'Income statement'!C10</f>
        <v>31.12.2005</v>
      </c>
      <c r="E10" s="6" t="str">
        <f>+C10</f>
        <v>31.12.2006</v>
      </c>
      <c r="F10" s="6" t="str">
        <f>+D10</f>
        <v>31.12.2005</v>
      </c>
    </row>
    <row r="11" spans="3:6" ht="12.75">
      <c r="C11" s="6"/>
      <c r="D11" s="6"/>
      <c r="E11" s="6"/>
      <c r="F11" s="6"/>
    </row>
    <row r="12" spans="3:6" ht="12.75">
      <c r="C12" s="6" t="s">
        <v>8</v>
      </c>
      <c r="D12" s="6" t="s">
        <v>8</v>
      </c>
      <c r="E12" s="6" t="s">
        <v>8</v>
      </c>
      <c r="F12" s="6" t="s">
        <v>8</v>
      </c>
    </row>
    <row r="14" spans="1:6" ht="12.75">
      <c r="A14" s="1">
        <v>1</v>
      </c>
      <c r="B14" t="s">
        <v>3</v>
      </c>
      <c r="C14" s="11">
        <f>+'Income statement'!B13</f>
        <v>33079.115999999995</v>
      </c>
      <c r="D14" s="11">
        <f>+'Income statement'!C13</f>
        <v>27664.73599999999</v>
      </c>
      <c r="E14" s="11">
        <f>+'Income statement'!D13</f>
        <v>122177.648</v>
      </c>
      <c r="F14" s="11">
        <f>+'Income statement'!E13</f>
        <v>113178.662</v>
      </c>
    </row>
    <row r="15" spans="1:6" ht="12.75">
      <c r="A15" s="1"/>
      <c r="C15" s="11"/>
      <c r="D15" s="11"/>
      <c r="E15" s="11"/>
      <c r="F15" s="11"/>
    </row>
    <row r="16" spans="1:6" ht="12.75">
      <c r="A16" s="1">
        <v>2</v>
      </c>
      <c r="B16" t="s">
        <v>183</v>
      </c>
      <c r="C16" s="11">
        <f>+'Income statement'!B27</f>
        <v>500.0509999999854</v>
      </c>
      <c r="D16" s="11">
        <f>+'Income statement'!C27</f>
        <v>-783.7870000000003</v>
      </c>
      <c r="E16" s="11">
        <f>+'Income statement'!D27</f>
        <v>10197.455</v>
      </c>
      <c r="F16" s="11">
        <f>+'Income statement'!E27</f>
        <v>-6188.067999999997</v>
      </c>
    </row>
    <row r="17" spans="1:6" ht="12.75">
      <c r="A17" s="1"/>
      <c r="C17" s="11"/>
      <c r="D17" s="11"/>
      <c r="E17" s="11"/>
      <c r="F17" s="11"/>
    </row>
    <row r="18" spans="1:6" ht="12.75">
      <c r="A18" s="1">
        <v>3</v>
      </c>
      <c r="B18" s="93" t="s">
        <v>195</v>
      </c>
      <c r="C18" s="11">
        <f>+'Income statement'!B39</f>
        <v>-1063.2280000000148</v>
      </c>
      <c r="D18" s="11">
        <f>+'Income statement'!C39</f>
        <v>-1184.101</v>
      </c>
      <c r="E18" s="11">
        <f>+'Income statement'!D39</f>
        <v>7748.867</v>
      </c>
      <c r="F18" s="11">
        <f>+'Income statement'!E39</f>
        <v>-6212.717999999996</v>
      </c>
    </row>
    <row r="19" spans="1:6" ht="12.75">
      <c r="A19" s="1"/>
      <c r="B19" s="93"/>
      <c r="C19" s="11"/>
      <c r="D19" s="11"/>
      <c r="E19" s="11"/>
      <c r="F19" s="11"/>
    </row>
    <row r="20" spans="1:6" ht="12.75">
      <c r="A20" s="1"/>
      <c r="C20" s="11"/>
      <c r="D20" s="11"/>
      <c r="E20" s="11"/>
      <c r="F20" s="11"/>
    </row>
    <row r="21" spans="1:6" ht="12.75">
      <c r="A21" s="1">
        <v>4</v>
      </c>
      <c r="B21" t="s">
        <v>190</v>
      </c>
      <c r="C21" s="11">
        <f>+'Income statement'!B35</f>
        <v>-1041.2510000000148</v>
      </c>
      <c r="D21" s="11">
        <f>+'Income statement'!C35</f>
        <v>-1182.8780000000002</v>
      </c>
      <c r="E21" s="11">
        <f>+'Income statement'!D35</f>
        <v>7771.7970000000005</v>
      </c>
      <c r="F21" s="11">
        <f>+'Income statement'!E35</f>
        <v>-6181.605999999996</v>
      </c>
    </row>
    <row r="22" spans="1:6" ht="12.75">
      <c r="A22" s="1"/>
      <c r="B22" t="s">
        <v>191</v>
      </c>
      <c r="C22" s="11"/>
      <c r="D22" s="11"/>
      <c r="E22" s="11"/>
      <c r="F22" s="11"/>
    </row>
    <row r="23" spans="1:6" ht="12.75">
      <c r="A23" s="1"/>
      <c r="C23" s="11"/>
      <c r="D23" s="11"/>
      <c r="E23" s="11"/>
      <c r="F23" s="11"/>
    </row>
    <row r="24" spans="1:6" ht="25.5">
      <c r="A24" s="1">
        <v>5</v>
      </c>
      <c r="B24" s="10" t="s">
        <v>184</v>
      </c>
      <c r="C24" s="12">
        <f>+C18/43560*100</f>
        <v>-2.4408356290174815</v>
      </c>
      <c r="D24" s="12">
        <f>+D21/43560*100</f>
        <v>-2.7155142332415063</v>
      </c>
      <c r="E24" s="12">
        <f>+E18/43560*100</f>
        <v>17.788950872359962</v>
      </c>
      <c r="F24" s="12">
        <f>+F21/43560*100</f>
        <v>-14.191014692378321</v>
      </c>
    </row>
    <row r="25" spans="1:6" ht="12.75">
      <c r="A25" s="1"/>
      <c r="B25" s="10"/>
      <c r="C25" s="11"/>
      <c r="D25" s="11"/>
      <c r="E25" s="11"/>
      <c r="F25" s="11"/>
    </row>
    <row r="26" spans="1:6" ht="12.75">
      <c r="A26" s="1"/>
      <c r="C26" s="11"/>
      <c r="D26" s="11"/>
      <c r="E26" s="11"/>
      <c r="F26" s="11"/>
    </row>
    <row r="27" spans="1:6" ht="25.5">
      <c r="A27" s="1">
        <v>6</v>
      </c>
      <c r="B27" s="10" t="s">
        <v>192</v>
      </c>
      <c r="C27" s="11" t="s">
        <v>70</v>
      </c>
      <c r="D27" s="11" t="s">
        <v>70</v>
      </c>
      <c r="E27" s="11" t="s">
        <v>70</v>
      </c>
      <c r="F27" s="11" t="s">
        <v>70</v>
      </c>
    </row>
    <row r="28" spans="1:6" ht="12.75">
      <c r="A28" s="1"/>
      <c r="B28" s="10"/>
      <c r="C28" s="11"/>
      <c r="D28" s="11"/>
      <c r="E28" s="11"/>
      <c r="F28" s="11"/>
    </row>
    <row r="29" spans="1:6" ht="12.75">
      <c r="A29" s="1"/>
      <c r="B29" s="10"/>
      <c r="C29" s="11"/>
      <c r="D29" s="11"/>
      <c r="E29" s="11"/>
      <c r="F29" s="11"/>
    </row>
    <row r="30" spans="1:6" ht="12.75">
      <c r="A30" s="1"/>
      <c r="B30" s="10"/>
      <c r="C30" s="11"/>
      <c r="D30" s="11"/>
      <c r="E30" s="5" t="s">
        <v>129</v>
      </c>
      <c r="F30" s="5" t="s">
        <v>131</v>
      </c>
    </row>
    <row r="31" spans="3:6" ht="12.75">
      <c r="C31" s="11"/>
      <c r="D31" s="11"/>
      <c r="E31" s="5" t="s">
        <v>130</v>
      </c>
      <c r="F31" s="5" t="s">
        <v>132</v>
      </c>
    </row>
    <row r="32" spans="3:6" ht="12.75">
      <c r="C32" s="11"/>
      <c r="D32" s="11"/>
      <c r="E32" s="5"/>
      <c r="F32" s="5"/>
    </row>
    <row r="33" spans="1:6" ht="12.75">
      <c r="A33">
        <v>7</v>
      </c>
      <c r="B33" s="88" t="s">
        <v>193</v>
      </c>
      <c r="C33" s="11"/>
      <c r="D33" s="11"/>
      <c r="E33" s="12">
        <f>+'balance sheet'!B57</f>
        <v>1.1562374885215794</v>
      </c>
      <c r="F33" s="12">
        <f>+'balance sheet'!C57</f>
        <v>0.9828157943067034</v>
      </c>
    </row>
    <row r="34" spans="2:6" ht="12.75">
      <c r="B34" s="88"/>
      <c r="C34" s="11"/>
      <c r="D34" s="11"/>
      <c r="E34" s="11"/>
      <c r="F34" s="11"/>
    </row>
    <row r="35" spans="2:6" ht="12.75">
      <c r="B35" s="88"/>
      <c r="C35" s="11"/>
      <c r="D35" s="11"/>
      <c r="E35" s="11"/>
      <c r="F35" s="11"/>
    </row>
    <row r="36" spans="3:6" ht="12.75">
      <c r="C36" s="11"/>
      <c r="D36" s="11"/>
      <c r="E36" s="11"/>
      <c r="F36" s="11"/>
    </row>
    <row r="37" spans="2:6" ht="15.75">
      <c r="B37" s="71" t="s">
        <v>201</v>
      </c>
      <c r="C37" s="72"/>
      <c r="D37" s="73"/>
      <c r="E37" s="72"/>
      <c r="F37" s="73"/>
    </row>
    <row r="38" spans="2:6" ht="12.75">
      <c r="B38" s="74" t="s">
        <v>198</v>
      </c>
      <c r="C38" s="72">
        <f>+'Income statement'!B23</f>
        <v>1856.220999999985</v>
      </c>
      <c r="D38" s="73">
        <f>+'Income statement'!C23</f>
        <v>536.8389999999999</v>
      </c>
      <c r="E38" s="72">
        <f>+'Income statement'!D23</f>
        <v>15637.462</v>
      </c>
      <c r="F38" s="73">
        <f>+'Income statement'!E23</f>
        <v>-1010.0709999999963</v>
      </c>
    </row>
    <row r="39" spans="2:6" ht="12.75">
      <c r="B39" s="74"/>
      <c r="C39" s="73"/>
      <c r="D39" s="73"/>
      <c r="E39" s="73"/>
      <c r="F39" s="73"/>
    </row>
    <row r="40" spans="2:6" ht="12.75">
      <c r="B40" s="74" t="s">
        <v>199</v>
      </c>
      <c r="C40" s="69">
        <f>+working!AO60/1000</f>
        <v>47.931</v>
      </c>
      <c r="D40" s="69">
        <f>+working!AP60/1000</f>
        <v>54.065</v>
      </c>
      <c r="E40" s="69">
        <f>+working!C60/1000</f>
        <v>179.918</v>
      </c>
      <c r="F40" s="69">
        <f>+working!D60/1000</f>
        <v>259.588</v>
      </c>
    </row>
    <row r="41" spans="2:6" ht="12.75">
      <c r="B41" s="74"/>
      <c r="C41" s="69"/>
      <c r="D41" s="69"/>
      <c r="E41" s="69"/>
      <c r="F41" s="69"/>
    </row>
    <row r="42" spans="2:6" ht="12.75">
      <c r="B42" s="74" t="s">
        <v>200</v>
      </c>
      <c r="C42" s="69">
        <f>+working!AO61/1000</f>
        <v>1404.101</v>
      </c>
      <c r="D42" s="73">
        <f>+working!AP61/1000</f>
        <v>1374.691</v>
      </c>
      <c r="E42" s="70">
        <f>+working!C61/1000</f>
        <v>5619.925</v>
      </c>
      <c r="F42" s="75">
        <f>+working!D61/1000</f>
        <v>5437.585</v>
      </c>
    </row>
    <row r="43" spans="2:6" ht="12.75">
      <c r="B43" s="74"/>
      <c r="C43" s="74"/>
      <c r="D43" s="74"/>
      <c r="E43" s="74"/>
      <c r="F43" s="74"/>
    </row>
  </sheetData>
  <sheetProtection password="CBC3" sheet="1" objects="1" scenarios="1"/>
  <mergeCells count="8">
    <mergeCell ref="B33:B35"/>
    <mergeCell ref="B18:B19"/>
    <mergeCell ref="C6:D6"/>
    <mergeCell ref="E6:F6"/>
    <mergeCell ref="C7:C9"/>
    <mergeCell ref="D7:D9"/>
    <mergeCell ref="E7:E9"/>
    <mergeCell ref="F7:F9"/>
  </mergeCells>
  <printOptions gridLines="1"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48" sqref="A48"/>
    </sheetView>
  </sheetViews>
  <sheetFormatPr defaultColWidth="9.140625" defaultRowHeight="12.75"/>
  <cols>
    <col min="1" max="1" width="67.421875" style="0" customWidth="1"/>
    <col min="2" max="2" width="2.140625" style="0" customWidth="1"/>
    <col min="3" max="4" width="17.57421875" style="0" customWidth="1"/>
  </cols>
  <sheetData>
    <row r="1" ht="20.25">
      <c r="A1" s="8" t="str">
        <f>+'Income statement'!A1</f>
        <v>TAI KWONG  YOKOHAMA BHD (292788-U)</v>
      </c>
    </row>
    <row r="3" spans="1:4" ht="12.75">
      <c r="A3" s="3" t="s">
        <v>19</v>
      </c>
      <c r="D3" s="6" t="s">
        <v>118</v>
      </c>
    </row>
    <row r="4" spans="3:5" ht="12.75">
      <c r="C4" s="6" t="s">
        <v>50</v>
      </c>
      <c r="D4" s="6" t="s">
        <v>119</v>
      </c>
      <c r="E4" s="1"/>
    </row>
    <row r="5" spans="3:4" ht="12.75">
      <c r="C5" s="6" t="s">
        <v>49</v>
      </c>
      <c r="D5" s="6" t="s">
        <v>120</v>
      </c>
    </row>
    <row r="6" spans="3:4" ht="12.75">
      <c r="C6" s="6" t="str">
        <f>+'Income statement'!B10</f>
        <v>31.12.2006</v>
      </c>
      <c r="D6" s="6" t="str">
        <f>+'Income statement'!C10</f>
        <v>31.12.2005</v>
      </c>
    </row>
    <row r="7" spans="3:4" ht="12.75">
      <c r="C7" s="6" t="s">
        <v>8</v>
      </c>
      <c r="D7" s="6" t="s">
        <v>8</v>
      </c>
    </row>
    <row r="8" ht="12.75">
      <c r="C8" s="6"/>
    </row>
    <row r="9" spans="1:3" ht="12.75" hidden="1">
      <c r="A9" s="3" t="s">
        <v>20</v>
      </c>
      <c r="C9" s="36"/>
    </row>
    <row r="10" spans="1:4" ht="12.75" hidden="1">
      <c r="A10" t="s">
        <v>4</v>
      </c>
      <c r="C10" s="37">
        <f>+'Income statement'!D27</f>
        <v>10197.455</v>
      </c>
      <c r="D10" s="37">
        <f>+'Income statement'!E27</f>
        <v>-6188.067999999997</v>
      </c>
    </row>
    <row r="11" spans="3:4" ht="12.75" hidden="1">
      <c r="C11" s="37"/>
      <c r="D11" s="37"/>
    </row>
    <row r="12" spans="1:4" ht="12.75" hidden="1">
      <c r="A12" t="s">
        <v>21</v>
      </c>
      <c r="C12" s="37"/>
      <c r="D12" s="37"/>
    </row>
    <row r="13" spans="1:4" ht="12.75" hidden="1">
      <c r="A13" t="s">
        <v>61</v>
      </c>
      <c r="C13" s="52">
        <v>2820.584</v>
      </c>
      <c r="D13" s="37">
        <f>86.397-99.764+3387.655</f>
        <v>3374.288</v>
      </c>
    </row>
    <row r="14" spans="1:4" ht="12.75" hidden="1">
      <c r="A14" t="s">
        <v>22</v>
      </c>
      <c r="C14" s="37">
        <v>4215.824</v>
      </c>
      <c r="D14" s="37">
        <v>4062.894</v>
      </c>
    </row>
    <row r="15" spans="1:4" ht="12.75" hidden="1">
      <c r="A15" t="s">
        <v>23</v>
      </c>
      <c r="C15" s="37">
        <v>-131.987</v>
      </c>
      <c r="D15" s="37">
        <v>-205.523</v>
      </c>
    </row>
    <row r="16" spans="1:4" ht="12.75" hidden="1">
      <c r="A16" t="s">
        <v>24</v>
      </c>
      <c r="C16" s="37">
        <f>118.086+47.975-244.655</f>
        <v>-78.594</v>
      </c>
      <c r="D16" s="37">
        <f>18.331-486.641</f>
        <v>-468.31</v>
      </c>
    </row>
    <row r="17" spans="3:4" ht="12.75" hidden="1">
      <c r="C17" s="37"/>
      <c r="D17" s="37"/>
    </row>
    <row r="18" spans="1:4" ht="12.75" hidden="1">
      <c r="A18" t="s">
        <v>25</v>
      </c>
      <c r="C18" s="37">
        <f>SUM(C10:C16)</f>
        <v>17023.282</v>
      </c>
      <c r="D18" s="37">
        <f>SUM(D10:D16)</f>
        <v>575.2810000000034</v>
      </c>
    </row>
    <row r="19" spans="3:4" ht="12.75" hidden="1">
      <c r="C19" s="37"/>
      <c r="D19" s="37"/>
    </row>
    <row r="20" spans="1:4" ht="12.75" hidden="1">
      <c r="A20" t="s">
        <v>26</v>
      </c>
      <c r="C20" s="37"/>
      <c r="D20" s="37"/>
    </row>
    <row r="21" spans="1:4" ht="12.75" hidden="1">
      <c r="A21" t="s">
        <v>27</v>
      </c>
      <c r="C21" s="52">
        <f>234.384-521.24</f>
        <v>-286.856</v>
      </c>
      <c r="D21" s="37">
        <f>3986.88+3303.217</f>
        <v>7290.097</v>
      </c>
    </row>
    <row r="22" spans="1:4" ht="12.75" hidden="1">
      <c r="A22" t="s">
        <v>28</v>
      </c>
      <c r="C22" s="52">
        <v>-6222.341</v>
      </c>
      <c r="D22" s="37">
        <v>395.867</v>
      </c>
    </row>
    <row r="23" spans="3:4" ht="12.75" hidden="1">
      <c r="C23" s="37"/>
      <c r="D23" s="37"/>
    </row>
    <row r="24" spans="1:4" ht="12.75" hidden="1">
      <c r="A24" t="s">
        <v>127</v>
      </c>
      <c r="C24" s="37">
        <f>SUM(C18:C22)</f>
        <v>10514.085</v>
      </c>
      <c r="D24" s="37">
        <f>SUM(D18:D22)</f>
        <v>8261.245000000003</v>
      </c>
    </row>
    <row r="25" spans="3:4" ht="12.75" hidden="1">
      <c r="C25" s="37"/>
      <c r="D25" s="37"/>
    </row>
    <row r="26" spans="1:4" ht="12.75" hidden="1">
      <c r="A26" t="s">
        <v>62</v>
      </c>
      <c r="C26" s="37">
        <v>131.987</v>
      </c>
      <c r="D26" s="37">
        <v>205.523</v>
      </c>
    </row>
    <row r="27" spans="1:4" ht="12.75" hidden="1">
      <c r="A27" t="s">
        <v>111</v>
      </c>
      <c r="C27" s="37">
        <v>-2555.053</v>
      </c>
      <c r="D27" s="37">
        <v>-2403.244</v>
      </c>
    </row>
    <row r="28" spans="1:4" ht="12.75" hidden="1">
      <c r="A28" t="s">
        <v>29</v>
      </c>
      <c r="C28" s="37">
        <v>-278.106</v>
      </c>
      <c r="D28" s="37">
        <v>-1160.279</v>
      </c>
    </row>
    <row r="29" spans="3:4" ht="12.75">
      <c r="C29" s="37"/>
      <c r="D29" s="37"/>
    </row>
    <row r="30" spans="1:4" ht="12.75">
      <c r="A30" s="3" t="s">
        <v>188</v>
      </c>
      <c r="C30" s="37">
        <v>4633.372</v>
      </c>
      <c r="D30" s="37">
        <v>12125.176</v>
      </c>
    </row>
    <row r="31" spans="3:4" ht="12.75">
      <c r="C31" s="34"/>
      <c r="D31" s="34"/>
    </row>
    <row r="32" spans="1:4" ht="12.75">
      <c r="A32" s="3" t="s">
        <v>30</v>
      </c>
      <c r="C32" s="34"/>
      <c r="D32" s="34"/>
    </row>
    <row r="33" spans="1:5" ht="12.75">
      <c r="A33" s="42" t="s">
        <v>71</v>
      </c>
      <c r="C33" s="43">
        <v>0</v>
      </c>
      <c r="D33" s="43">
        <v>0</v>
      </c>
      <c r="E33" s="1"/>
    </row>
    <row r="34" spans="1:5" ht="12.75">
      <c r="A34" s="42" t="s">
        <v>73</v>
      </c>
      <c r="C34" s="44">
        <v>-3414.898</v>
      </c>
      <c r="D34" s="44">
        <v>-537.489</v>
      </c>
      <c r="E34" s="1"/>
    </row>
    <row r="35" spans="1:5" ht="12.75">
      <c r="A35" s="3" t="s">
        <v>196</v>
      </c>
      <c r="C35" s="37">
        <f>SUM(C33:C34)</f>
        <v>-3414.898</v>
      </c>
      <c r="D35" s="37">
        <f>SUM(D33:D34)</f>
        <v>-537.489</v>
      </c>
      <c r="E35" s="32"/>
    </row>
    <row r="36" spans="3:5" ht="12.75">
      <c r="C36" s="34"/>
      <c r="D36" s="34"/>
      <c r="E36" s="32"/>
    </row>
    <row r="37" spans="1:5" ht="12.75">
      <c r="A37" s="3" t="s">
        <v>72</v>
      </c>
      <c r="C37" s="34"/>
      <c r="D37" s="34"/>
      <c r="E37" s="32"/>
    </row>
    <row r="38" spans="1:5" ht="12.75">
      <c r="A38" t="s">
        <v>136</v>
      </c>
      <c r="C38" s="43">
        <f>5076.268-3318.119-2774.672</f>
        <v>-1016.5230000000001</v>
      </c>
      <c r="D38" s="60">
        <f>-8460.674-2851.446-4160.664</f>
        <v>-15472.784</v>
      </c>
      <c r="E38" s="32"/>
    </row>
    <row r="39" spans="1:5" ht="12.75">
      <c r="A39" t="s">
        <v>31</v>
      </c>
      <c r="C39" s="57">
        <f>-739.486-1388.476</f>
        <v>-2127.962</v>
      </c>
      <c r="D39" s="57">
        <f>-546.729-2956.441</f>
        <v>-3503.17</v>
      </c>
      <c r="E39" s="32"/>
    </row>
    <row r="40" spans="1:5" ht="12.75">
      <c r="A40" t="s">
        <v>135</v>
      </c>
      <c r="C40" s="57">
        <v>0</v>
      </c>
      <c r="D40" s="57">
        <v>0</v>
      </c>
      <c r="E40" s="32"/>
    </row>
    <row r="41" spans="1:5" ht="12.75">
      <c r="A41" t="s">
        <v>32</v>
      </c>
      <c r="C41" s="44">
        <v>0</v>
      </c>
      <c r="D41" s="44">
        <v>-1254.528</v>
      </c>
      <c r="E41" s="32"/>
    </row>
    <row r="42" spans="1:5" ht="12.75">
      <c r="A42" s="3" t="s">
        <v>197</v>
      </c>
      <c r="C42" s="58">
        <f>SUM(C38:C41)</f>
        <v>-3144.485</v>
      </c>
      <c r="D42" s="58">
        <f>SUM(D38:D41)</f>
        <v>-20230.481999999996</v>
      </c>
      <c r="E42" s="32"/>
    </row>
    <row r="43" spans="3:5" ht="12.75">
      <c r="C43" s="53"/>
      <c r="D43" s="53"/>
      <c r="E43" s="32"/>
    </row>
    <row r="44" spans="1:4" ht="12.75">
      <c r="A44" s="3" t="s">
        <v>122</v>
      </c>
      <c r="C44" s="37">
        <f>+C30+C35+C42</f>
        <v>-1926.011</v>
      </c>
      <c r="D44" s="37">
        <f>+D30+D35+D42</f>
        <v>-8642.794999999996</v>
      </c>
    </row>
    <row r="45" spans="1:4" ht="12.75">
      <c r="A45" s="3" t="s">
        <v>186</v>
      </c>
      <c r="C45" s="34">
        <f>+working!G39/1000-working!G35/1000</f>
        <v>-18187.040999999997</v>
      </c>
      <c r="D45" s="34">
        <v>-9543.679</v>
      </c>
    </row>
    <row r="46" spans="1:4" ht="13.5" thickBot="1">
      <c r="A46" s="3" t="s">
        <v>208</v>
      </c>
      <c r="C46" s="35">
        <f>+C44+C45</f>
        <v>-20113.051999999996</v>
      </c>
      <c r="D46" s="35">
        <f>+D44+D45</f>
        <v>-18186.473999999995</v>
      </c>
    </row>
    <row r="47" spans="3:4" ht="13.5" thickTop="1">
      <c r="C47" s="34"/>
      <c r="D47" s="11"/>
    </row>
    <row r="48" spans="3:4" ht="12.75">
      <c r="C48" s="37"/>
      <c r="D48" s="11"/>
    </row>
    <row r="49" ht="12.75">
      <c r="C49" s="11"/>
    </row>
    <row r="50" spans="1:3" ht="12.75">
      <c r="A50" s="3" t="s">
        <v>64</v>
      </c>
      <c r="C50" s="11"/>
    </row>
    <row r="51" ht="13.5" thickBot="1"/>
    <row r="52" spans="1:4" ht="12.75">
      <c r="A52" s="17"/>
      <c r="B52" s="18"/>
      <c r="C52" s="19"/>
      <c r="D52" s="20"/>
    </row>
    <row r="53" spans="1:4" ht="12.75">
      <c r="A53" s="21"/>
      <c r="B53" s="22"/>
      <c r="C53" s="28"/>
      <c r="D53" s="29"/>
    </row>
    <row r="54" spans="1:5" ht="12.75">
      <c r="A54" s="21" t="s">
        <v>121</v>
      </c>
      <c r="B54" s="22"/>
      <c r="C54" s="26">
        <f>+working!C39/1000</f>
        <v>-20097.166</v>
      </c>
      <c r="D54" s="37">
        <f>+working!D39/1000</f>
        <v>-18171.155</v>
      </c>
      <c r="E54" s="1"/>
    </row>
    <row r="55" spans="1:4" ht="12.75">
      <c r="A55" s="21" t="s">
        <v>63</v>
      </c>
      <c r="B55" s="22"/>
      <c r="C55" s="26">
        <f>-working!E35/1000</f>
        <v>-15.886</v>
      </c>
      <c r="D55" s="78">
        <v>-15.32</v>
      </c>
    </row>
    <row r="56" spans="1:4" ht="13.5" thickBot="1">
      <c r="A56" s="21" t="s">
        <v>65</v>
      </c>
      <c r="B56" s="22"/>
      <c r="C56" s="27">
        <f>+C54+C55</f>
        <v>-20113.052</v>
      </c>
      <c r="D56" s="79">
        <f>+D54+D55</f>
        <v>-18186.475</v>
      </c>
    </row>
    <row r="57" spans="1:4" ht="14.25" thickBot="1" thickTop="1">
      <c r="A57" s="23"/>
      <c r="B57" s="24"/>
      <c r="C57" s="24"/>
      <c r="D57" s="25"/>
    </row>
    <row r="58" spans="1:4" ht="12.75">
      <c r="A58" s="22"/>
      <c r="B58" s="22"/>
      <c r="C58" s="22"/>
      <c r="D58" s="22"/>
    </row>
    <row r="59" spans="1:5" ht="12.75">
      <c r="A59" s="41"/>
      <c r="B59" s="41"/>
      <c r="C59" s="41"/>
      <c r="D59" s="41"/>
      <c r="E59" s="41"/>
    </row>
    <row r="60" spans="1:5" ht="12.75">
      <c r="A60" s="41"/>
      <c r="B60" s="41"/>
      <c r="C60" s="41"/>
      <c r="D60" s="41"/>
      <c r="E60" s="41"/>
    </row>
    <row r="61" spans="1:5" ht="12.75">
      <c r="A61" s="93" t="s">
        <v>185</v>
      </c>
      <c r="B61" s="95"/>
      <c r="C61" s="95"/>
      <c r="D61" s="95"/>
      <c r="E61" s="10"/>
    </row>
    <row r="62" spans="1:5" ht="12.75">
      <c r="A62" s="95"/>
      <c r="B62" s="95"/>
      <c r="C62" s="95"/>
      <c r="D62" s="95"/>
      <c r="E62" s="10"/>
    </row>
    <row r="63" spans="1:4" ht="12.75">
      <c r="A63" s="31"/>
      <c r="B63" s="31"/>
      <c r="C63" s="31"/>
      <c r="D63" s="31"/>
    </row>
  </sheetData>
  <mergeCells count="1">
    <mergeCell ref="A61:D62"/>
  </mergeCells>
  <printOptions gridLines="1"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TKYB</cp:lastModifiedBy>
  <cp:lastPrinted>2007-02-23T01:50:57Z</cp:lastPrinted>
  <dcterms:created xsi:type="dcterms:W3CDTF">2002-11-05T00:02:16Z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